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2QHR1xcEsSpYYNpOstg8ly+pol0OCrtLe55FnsxNoeO/qJTpCMYBJcy0enqQ06FwdSQzXCFBkLxKefpnhFBuw==" workbookSaltValue="J6xbGBcbxRn7XbR2Ay/M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C11" i="6" s="1"/>
  <c r="G12" i="2"/>
  <c r="B12" i="6" s="1"/>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G15" i="8" s="1"/>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Y11" i="11"/>
  <c r="AT18" i="17"/>
  <c r="B16" i="6"/>
  <c r="AL10" i="11"/>
  <c r="N10" i="11"/>
  <c r="N9" i="11"/>
  <c r="T10" i="21"/>
  <c r="E15" i="6"/>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M13" i="2"/>
  <c r="N13" i="2"/>
  <c r="AO9" i="11"/>
  <c r="AC10" i="11"/>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AZ18" i="13"/>
  <c r="AY13" i="8"/>
  <c r="BD9" i="8"/>
  <c r="BE9" i="8"/>
  <c r="BA13" i="8"/>
  <c r="X12" i="17"/>
  <c r="L10" i="2"/>
  <c r="AV18" i="17"/>
  <c r="J18" i="17"/>
  <c r="L15" i="2"/>
  <c r="L12" i="2"/>
  <c r="L16" i="2"/>
  <c r="U9" i="17"/>
  <c r="U19" i="17" s="1"/>
  <c r="T13" i="16"/>
  <c r="AP13" i="16"/>
  <c r="V9"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O17" i="11"/>
  <c r="B17" i="6"/>
  <c r="C17" i="6"/>
  <c r="I17" i="12" s="1"/>
  <c r="Y19" i="8"/>
  <c r="E18" i="12"/>
  <c r="C18" i="7"/>
  <c r="T19" i="8"/>
  <c r="AO16" i="11"/>
  <c r="AW18" i="21"/>
  <c r="Z13" i="17"/>
  <c r="H13" i="12"/>
  <c r="L12" i="14"/>
  <c r="AO12" i="17"/>
  <c r="H12" i="7"/>
  <c r="AO12" i="11"/>
  <c r="AB19" i="8"/>
  <c r="Z19" i="8"/>
  <c r="BG10" i="8"/>
  <c r="C19" i="3"/>
  <c r="E11" i="6"/>
  <c r="F9" i="2"/>
  <c r="AL11" i="11"/>
  <c r="H12" i="2"/>
  <c r="M18" i="2"/>
  <c r="N18" i="2"/>
  <c r="N19" i="2" s="1"/>
  <c r="V10" i="21"/>
  <c r="BF11" i="8"/>
  <c r="BF9" i="8"/>
  <c r="C10" i="6"/>
  <c r="BF16" i="13"/>
  <c r="BE16" i="13"/>
  <c r="AO16" i="17"/>
  <c r="BD15" i="8"/>
  <c r="H15" i="7" s="1"/>
  <c r="BE15" i="8"/>
  <c r="BG16" i="8"/>
  <c r="K16" i="7" s="1"/>
  <c r="E18" i="2"/>
  <c r="AL15" i="11"/>
  <c r="L16" i="14"/>
  <c r="F15" i="11"/>
  <c r="AQ15" i="11" s="1"/>
  <c r="F16" i="17"/>
  <c r="AQ16" i="17" s="1"/>
  <c r="D11" i="12"/>
  <c r="D12" i="12"/>
  <c r="BG9" i="8"/>
  <c r="K9" i="7" s="1"/>
  <c r="BD11" i="8"/>
  <c r="BE11" i="8"/>
  <c r="I11" i="7" s="1"/>
  <c r="BG12" i="8"/>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K16" i="12"/>
  <c r="H13" i="2"/>
  <c r="F19" i="7"/>
  <c r="I10" i="12"/>
  <c r="B19" i="7"/>
  <c r="G21" i="11"/>
  <c r="AM13" i="11"/>
  <c r="F18"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<sst xmlns="http://schemas.openxmlformats.org/spreadsheetml/2006/main" count="2102" uniqueCount="918">
  <si>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</si>
  <si>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</si>
  <si>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</si>
  <si>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</si>
  <si>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</si>
  <si>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</si>
  <si>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</si>
  <si>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</si>
  <si>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</si>
  <si>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</si>
  <si>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</si>
  <si>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</si>
  <si>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</si>
  <si>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</si>
  <si>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</si>
  <si>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</si>
  <si>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</si>
  <si>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</si>
  <si>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</si>
  <si>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</si>
  <si>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</si>
  <si>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</si>
  <si>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</si>
  <si>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</si>
  <si>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</si>
  <si>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</si>
  <si>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</si>
  <si>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</si>
  <si>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</si>
  <si>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</si>
  <si>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</si>
  <si>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</si>
  <si>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</si>
  <si>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</si>
  <si>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</si>
  <si>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</si>
  <si>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</si>
  <si>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</si>
  <si>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</si>
  <si>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</si>
  <si>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</si>
  <si>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</si>
  <si>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</si>
  <si>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</si>
  <si>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</si>
  <si>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</si>
  <si>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</si>
  <si>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</si>
  <si>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</si>
  <si>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</si>
  <si>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</si>
  <si>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</si>
  <si>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</si>
  <si>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</si>
  <si>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</si>
  <si>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</si>
  <si>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</si>
  <si>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</si>
  <si>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</si>
  <si>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</si>
  <si>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</si>
  <si>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</si>
  <si>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</si>
  <si>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</si>
  <si>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</si>
  <si>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</si>
  <si>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</si>
  <si>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</si>
  <si>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</si>
  <si>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</si>
  <si>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</si>
  <si>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</si>
  <si>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</si>
  <si>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</si>
  <si>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</si>
  <si>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</si>
  <si>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</si>
  <si>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</si>
  <si>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</si>
  <si>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</si>
  <si>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</si>
  <si>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</si>
  <si>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</si>
  <si>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</si>
  <si>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</si>
  <si>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</si>
  <si>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</si>
  <si>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</si>
  <si>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</si>
  <si>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</si>
  <si>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</si>
  <si>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</si>
  <si>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</si>
  <si>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</si>
  <si>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</si>
  <si>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</si>
  <si>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</si>
  <si>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</si>
  <si>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</si>
  <si>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</si>
  <si>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</si>
  <si>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</si>
  <si>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</si>
  <si>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</si>
  <si>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</si>
  <si>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</si>
  <si>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</si>
  <si>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</si>
  <si>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</si>
  <si>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</si>
  <si>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</si>
  <si>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</si>
  <si>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</si>
  <si>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</si>
  <si>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</si>
  <si>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</si>
  <si>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</si>
  <si>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</si>
  <si>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</si>
  <si>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</si>
  <si>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</si>
  <si>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</si>
  <si>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</si>
  <si>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</si>
  <si>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</si>
  <si>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</si>
  <si>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</si>
  <si>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</si>
  <si>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</si>
  <si>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</si>
  <si>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</si>
  <si>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</si>
  <si>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</si>
  <si>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</si>
  <si>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</si>
  <si>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</si>
  <si>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</si>
  <si>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</si>
  <si>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</si>
  <si>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</si>
  <si>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</si>
  <si>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</si>
  <si>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</si>
  <si>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</si>
  <si>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</si>
  <si>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</si>
  <si>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</si>
  <si>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</si>
  <si>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</si>
  <si>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</si>
  <si>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</si>
  <si>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</si>
  <si>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</si>
  <si>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</si>
  <si>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</si>
  <si>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</si>
  <si>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</si>
  <si>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</si>
  <si>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</si>
  <si>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</si>
  <si>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</si>
  <si>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</si>
  <si>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</si>
  <si>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</si>
  <si>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</si>
  <si>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</si>
  <si>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</si>
  <si>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</si>
  <si>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</si>
  <si>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</si>
  <si>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</si>
  <si>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</si>
  <si>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</si>
  <si>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</si>
  <si>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</si>
  <si>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</si>
  <si>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</si>
  <si>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</si>
  <si>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</si>
  <si>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</si>
  <si>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</si>
  <si>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</si>
  <si>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</si>
  <si>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</si>
  <si>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</si>
  <si>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</si>
  <si>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</si>
  <si>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</si>
  <si>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</si>
  <si>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</si>
  <si>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</si>
  <si>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</si>
  <si>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</si>
  <si>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</si>
  <si>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</si>
  <si>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</si>
  <si>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</si>
  <si>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</si>
  <si>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</si>
  <si>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</si>
  <si>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</si>
  <si>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</si>
  <si>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</si>
  <si>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</si>
  <si>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</si>
  <si>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</si>
  <si>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</si>
  <si>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</si>
  <si>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</si>
  <si>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</si>
  <si>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</si>
  <si>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</si>
  <si>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</si>
  <si>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</si>
  <si>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</si>
  <si>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</si>
  <si>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</si>
  <si>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</si>
  <si>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</si>
  <si>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</si>
  <si>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</si>
  <si>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</si>
  <si>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</si>
  <si>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</si>
  <si>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</si>
  <si>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</si>
  <si>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</si>
  <si>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</si>
  <si>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</si>
  <si>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</si>
  <si>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</si>
  <si>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</si>
  <si>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</si>
  <si>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</si>
  <si>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</si>
  <si>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</si>
  <si>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</si>
  <si>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</si>
  <si>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</si>
  <si>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</si>
  <si>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</si>
  <si>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</si>
  <si>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</si>
  <si>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</si>
  <si>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</si>
  <si>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</si>
  <si>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</si>
  <si>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</si>
  <si>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</si>
  <si>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</si>
  <si>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</si>
  <si>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</si>
  <si>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</si>
  <si>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</si>
  <si>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</si>
  <si>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</si>
  <si>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</si>
  <si>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</si>
  <si>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</si>
  <si>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</si>
  <si>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</si>
  <si>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</si>
  <si>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</si>
  <si>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</si>
  <si>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</si>
  <si>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</si>
  <si>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</si>
  <si>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</si>
  <si>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</si>
  <si>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</si>
  <si>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</si>
  <si>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</si>
  <si>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</si>
  <si>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</si>
  <si>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</si>
  <si>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</si>
  <si>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</si>
  <si>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</si>
  <si>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</si>
  <si>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</si>
  <si>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</si>
  <si>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</si>
  <si>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</si>
  <si>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</si>
  <si>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</si>
  <si>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</si>
  <si>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</si>
  <si>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</si>
  <si>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</si>
  <si>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</si>
  <si>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</si>
  <si>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</si>
  <si>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</si>
  <si>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</si>
  <si>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</si>
  <si>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</si>
  <si>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</si>
  <si>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</si>
  <si>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</si>
  <si>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</si>
  <si>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</si>
  <si>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</si>
  <si>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</si>
  <si>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</si>
  <si>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</si>
  <si>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</si>
  <si>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</si>
  <si>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</si>
  <si>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</si>
  <si>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</si>
  <si>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</si>
  <si>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</si>
  <si>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</si>
  <si>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</si>
  <si>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</si>
  <si>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</si>
  <si>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</si>
  <si>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</si>
  <si>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</si>
  <si>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</si>
  <si>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</si>
  <si>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</si>
  <si>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</si>
  <si>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</si>
  <si>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</si>
  <si>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</si>
  <si>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</si>
  <si>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</si>
  <si>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</si>
  <si>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</si>
  <si>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</si>
  <si>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</si>
  <si>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</si>
  <si>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</si>
  <si>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</si>
  <si>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</si>
  <si>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</si>
  <si>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</si>
  <si>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</si>
  <si>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</si>
  <si>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</si>
  <si>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</si>
  <si>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</si>
  <si>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</si>
  <si>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</si>
  <si>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</si>
  <si>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</si>
  <si>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</si>
  <si>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</si>
  <si>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</si>
  <si>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</si>
  <si>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</si>
  <si>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</si>
  <si>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</si>
  <si>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</si>
  <si>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</si>
  <si>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</si>
  <si>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</si>
  <si>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</si>
  <si>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</si>
  <si>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</si>
  <si>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</si>
  <si>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</si>
  <si>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</si>
  <si>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</si>
  <si>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</si>
  <si>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</si>
  <si>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</si>
  <si>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</si>
  <si>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</si>
  <si>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</si>
  <si>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</si>
  <si>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</si>
  <si>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</si>
  <si>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</si>
  <si>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</si>
  <si>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</si>
  <si>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</si>
  <si>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</si>
  <si>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</si>
  <si>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</si>
  <si>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</si>
  <si>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</si>
  <si>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</si>
  <si>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</si>
  <si>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</si>
  <si>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</si>
  <si>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</si>
  <si>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</si>
  <si>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</si>
  <si>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</si>
  <si>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</si>
  <si>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</si>
  <si>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</si>
  <si>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</si>
  <si>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</si>
  <si>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</si>
  <si>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</si>
  <si>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</si>
  <si>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</si>
  <si>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</si>
  <si>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</si>
  <si>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</si>
  <si>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</si>
  <si>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</si>
  <si>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</si>
  <si>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</si>
  <si>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</si>
  <si>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</si>
  <si>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</si>
  <si>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</si>
  <si>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</si>
  <si>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</si>
  <si>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</si>
  <si>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</si>
  <si>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</si>
  <si>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</si>
  <si>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</si>
  <si>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</si>
  <si>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</si>
  <si>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</si>
  <si>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</si>
  <si>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</si>
  <si>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</si>
  <si>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</si>
  <si>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</si>
  <si>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</si>
  <si>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</si>
  <si>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</si>
  <si>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</si>
  <si>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</si>
  <si>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</si>
  <si>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</si>
  <si>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</si>
  <si>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</si>
  <si>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</si>
  <si>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</si>
  <si>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</si>
  <si>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</si>
  <si>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</si>
  <si>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</si>
  <si>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</si>
  <si>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</si>
  <si>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</si>
  <si>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</si>
  <si>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</si>
  <si>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</si>
  <si>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</si>
  <si>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</si>
  <si>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</si>
  <si>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</si>
  <si>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</si>
  <si>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</si>
  <si>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</si>
  <si>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</si>
  <si>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</si>
  <si>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</si>
  <si>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</si>
  <si>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</si>
  <si>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</si>
  <si>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</si>
  <si>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</si>
  <si>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</si>
  <si>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</si>
  <si>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</si>
  <si>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</si>
  <si>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</si>
  <si>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</si>
  <si>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</si>
  <si>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</si>
  <si>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</si>
  <si>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</si>
  <si>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</si>
  <si>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</si>
  <si>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</si>
  <si>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</si>
  <si>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</si>
  <si>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</si>
  <si>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</si>
  <si>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</si>
  <si>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</si>
  <si>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</si>
  <si>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</si>
  <si>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</si>
  <si>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</si>
  <si>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</si>
  <si>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</si>
  <si>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</si>
  <si>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</si>
  <si>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</si>
  <si>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</si>
  <si>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</si>
  <si>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</si>
  <si>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</si>
  <si>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</si>
  <si>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</si>
  <si>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</si>
  <si>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</si>
  <si>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</si>
  <si>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</si>
  <si>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</si>
  <si>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</si>
  <si>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</si>
  <si>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</si>
  <si>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</si>
  <si>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</si>
  <si>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</si>
  <si>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</si>
  <si>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</si>
  <si>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</si>
  <si>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</si>
  <si>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</si>
  <si>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</si>
  <si>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</si>
  <si>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</si>
  <si>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</si>
  <si>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</si>
  <si>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</si>
  <si>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</si>
  <si>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</si>
  <si>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</si>
  <si>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</si>
  <si>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</si>
  <si>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</si>
  <si>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</si>
  <si>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</si>
  <si>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</si>
  <si>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</si>
  <si>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</si>
  <si>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</si>
  <si>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</si>
  <si>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</si>
  <si>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</si>
  <si>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</si>
  <si>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</si>
  <si>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</si>
  <si>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</si>
  <si>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</si>
  <si>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</si>
  <si>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</si>
  <si>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</si>
  <si>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</si>
  <si>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</si>
  <si>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</si>
  <si>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</si>
  <si>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</si>
  <si>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</si>
  <si>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</si>
  <si>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</si>
  <si>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</si>
  <si>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</si>
  <si>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</si>
  <si>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</si>
  <si>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</si>
  <si>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</si>
  <si>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</si>
  <si>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</si>
  <si>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</si>
  <si>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</si>
  <si>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</si>
  <si>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</si>
  <si>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</si>
  <si>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</si>
  <si>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</si>
  <si>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</si>
  <si>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</si>
  <si>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</si>
  <si>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</si>
  <si>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</si>
  <si>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</si>
  <si>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</si>
  <si>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</si>
  <si>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</si>
  <si>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</si>
  <si>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</si>
  <si>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</si>
  <si>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</si>
  <si>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</si>
  <si>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</si>
  <si>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</si>
  <si>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</si>
  <si>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</si>
  <si>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</si>
  <si>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</si>
  <si>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</si>
  <si>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</si>
  <si>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</si>
  <si>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</si>
  <si>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</si>
  <si>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</si>
  <si>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</si>
  <si>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</si>
  <si>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</si>
  <si>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</si>
  <si>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</si>
  <si>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</si>
  <si>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</si>
  <si>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</si>
  <si>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</si>
  <si>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</si>
  <si>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</si>
  <si>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</si>
  <si>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</si>
  <si>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</si>
  <si>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</si>
  <si>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</si>
  <si>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</si>
  <si>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</si>
  <si>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</si>
  <si>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</si>
  <si>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</si>
  <si>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</si>
  <si>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</si>
  <si>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</si>
  <si>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</si>
  <si>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</si>
  <si>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</si>
  <si>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</si>
  <si>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</si>
  <si>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</si>
  <si>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</si>
  <si>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</si>
  <si>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</si>
  <si>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</si>
  <si>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</si>
  <si>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</si>
  <si>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</si>
  <si>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</si>
  <si>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</si>
  <si>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</si>
  <si>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</si>
  <si>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</si>
  <si>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</si>
  <si>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</si>
  <si>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</si>
  <si>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</si>
  <si>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</si>
  <si>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</si>
  <si>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</si>
  <si>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</si>
  <si>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</si>
  <si>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</si>
  <si>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</si>
  <si>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</si>
  <si>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</si>
  <si>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</si>
  <si>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</si>
  <si>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</si>
  <si>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</si>
  <si>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</si>
  <si>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</si>
  <si>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</si>
  <si>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</si>
  <si>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</si>
  <si>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</si>
  <si>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</si>
  <si>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</si>
  <si>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</si>
  <si>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</si>
  <si>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</si>
  <si>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</si>
  <si>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</si>
  <si>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</si>
  <si>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</si>
  <si>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</si>
  <si>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</si>
  <si>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</si>
  <si>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</si>
  <si>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</si>
  <si>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</si>
  <si>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</si>
  <si>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</si>
  <si>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</si>
  <si>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</si>
  <si>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</si>
  <si>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</si>
  <si>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</si>
  <si>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</si>
  <si>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</si>
  <si>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</si>
  <si>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</si>
  <si>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</si>
  <si>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</si>
  <si>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</si>
  <si>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</si>
  <si>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</si>
  <si>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</si>
  <si>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</si>
  <si>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</si>
  <si>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</si>
  <si>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</si>
  <si>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</si>
  <si>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</si>
  <si>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</si>
  <si>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</si>
  <si>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</si>
  <si>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</si>
  <si>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</si>
  <si>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</si>
  <si>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</si>
  <si>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</si>
  <si>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</si>
  <si>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</si>
  <si>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</si>
  <si>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</si>
  <si>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</si>
  <si>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</si>
  <si>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</si>
  <si>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</si>
  <si>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</si>
  <si>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</si>
  <si>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</si>
  <si>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</si>
  <si>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</si>
  <si>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</si>
  <si>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</si>
  <si>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</si>
  <si>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</si>
  <si>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</si>
  <si>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</si>
  <si>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</si>
  <si>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</si>
  <si>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</si>
  <si>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</si>
  <si>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</si>
  <si>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</si>
  <si>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</si>
  <si>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</si>
  <si>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</si>
  <si>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</si>
  <si>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</si>
  <si>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</si>
  <si>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</si>
  <si>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</si>
  <si>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</si>
  <si>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</si>
  <si>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</si>
  <si>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</si>
  <si>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</si>
  <si>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</si>
  <si>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</si>
  <si>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</si>
  <si>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</si>
  <si>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</si>
  <si>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</si>
  <si>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</si>
  <si>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</si>
  <si>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</si>
  <si>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</si>
  <si>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</si>
  <si>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</si>
  <si>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</si>
  <si>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</si>
  <si>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</si>
  <si>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</si>
  <si>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</si>
  <si>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</si>
  <si>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</si>
  <si>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</si>
  <si>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</si>
  <si>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</si>
  <si>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</si>
  <si>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</si>
  <si>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</si>
  <si>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</si>
  <si>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</si>
  <si>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</si>
  <si>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</si>
  <si>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</si>
  <si>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</si>
  <si>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</si>
  <si>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</si>
  <si>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</si>
  <si>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</si>
  <si>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</si>
  <si>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</si>
  <si>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</si>
  <si>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</si>
  <si>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</si>
  <si>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</si>
  <si>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</si>
  <si>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</si>
  <si>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</si>
  <si>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</si>
  <si>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</si>
  <si>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</si>
  <si>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</si>
  <si>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</si>
  <si>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</si>
  <si>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</si>
  <si>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</si>
  <si>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</si>
  <si>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</si>
  <si>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</si>
  <si>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</si>
  <si>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</si>
  <si>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</si>
  <si>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</si>
  <si>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</si>
  <si>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</si>
  <si>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</si>
  <si>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</si>
  <si>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</si>
  <si>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</si>
  <si>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</si>
  <si>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</si>
  <si>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</si>
  <si>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</si>
  <si>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</si>
  <si>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</si>
  <si>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</si>
  <si>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</si>
  <si>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</si>
  <si>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</si>
  <si>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</si>
  <si>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</si>
  <si>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</si>
  <si>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</si>
  <si>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</si>
  <si>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</si>
  <si>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</si>
  <si>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</si>
  <si>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</si>
  <si>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</si>
  <si>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</si>
  <si>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</si>
  <si>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</si>
  <si>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</si>
  <si>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</si>
  <si>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</si>
  <si>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</si>
  <si>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</si>
  <si>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</si>
  <si>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</si>
  <si>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</si>
  <si>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</si>
  <si>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</si>
  <si>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</si>
  <si>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</si>
  <si>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</si>
  <si>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</si>
  <si>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</si>
  <si>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</si>
  <si>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</si>
  <si>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</si>
  <si>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</si>
  <si>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</si>
  <si>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</si>
  <si>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</si>
  <si>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</si>
  <si>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</si>
  <si>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</si>
  <si>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</si>
  <si>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</si>
  <si>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</si>
  <si>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</si>
  <si>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</si>
  <si>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</si>
  <si>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</si>
  <si>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</si>
  <si>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</si>
  <si>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</si>
  <si>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</si>
  <si>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</si>
  <si>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</si>
  <si>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</si>
  <si>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</si>
  <si>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</si>
  <si>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</si>
  <si>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</si>
  <si>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</si>
  <si>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</si>
  <si>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</si>
  <si>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</si>
  <si>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</si>
  <si>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</si>
  <si>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</si>
  <si>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</si>
  <si>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</si>
  <si>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</si>
  <si>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</si>
  <si>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</si>
  <si>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</si>
  <si>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</si>
  <si>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</si>
  <si>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</si>
  <si>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</si>
  <si>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</si>
  <si>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</si>
  <si>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</si>
  <si>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</si>
  <si>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</si>
  <si>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</si>
  <si>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</si>
  <si>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</si>
  <si>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</si>
  <si>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</si>
  <si>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</si>
  <si>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</si>
  <si>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</si>
  <si>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</si>
  <si>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</si>
  <si>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</si>
  <si>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</si>
  <si>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</si>
  <si>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</si>
  <si>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</si>
  <si>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</si>
  <si>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</si>
  <si>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</si>
  <si>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</si>
  <si>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</si>
  <si>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</si>
  <si>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</si>
  <si>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</si>
  <si>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JAEN</t>
  </si>
  <si>
    <t>Resumenes por Partidos Judiciales</t>
  </si>
  <si>
    <t>UBEDA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</si>
</sst>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MapXKIF/PX2vCZSgYrLfQVyKK/EaTT77wLPYvRJbBC8Pmkmo8L1w50UrOqInccPLC9+2ktxF78Nf68nxeh25g==" saltValue="meGJuLm1aofe3ECcfca0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31</v>
      </c>
      <c r="F10" s="225">
        <f>IF(ISNUMBER(Datos!K10),Datos!K10," - ")</f>
        <v>28</v>
      </c>
      <c r="G10" s="1033" t="str">
        <f>IF(Datos!E10&lt;&gt;"",Datos!E10,Datos!D10)</f>
        <v>37</v>
      </c>
      <c r="H10" s="226">
        <f>IF(ISNUMBER(Datos!L10),Datos!L10," - ")</f>
        <v>33</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12.964285714285715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26.804597701149426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31</v>
      </c>
      <c r="F13" s="1050">
        <f>SUBTOTAL(9,F9:F12)</f>
        <v>28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1010</v>
      </c>
      <c r="D16" s="224">
        <f>IF(ISNUMBER(IF(D_I="SI",Datos!I16,Datos!I16+Datos!AC16)),IF(D_I="SI",Datos!I16,Datos!I16+Datos!AC16)," - ")</f>
        <v>885</v>
      </c>
      <c r="E16" s="225">
        <f>IF(ISNUMBER(IF(D_I="SI",Datos!J16,Datos!J16+Datos!AD16)),IF(D_I="SI",Datos!J16,Datos!J16+Datos!AD16)," - ")</f>
        <v>744</v>
      </c>
      <c r="F16" s="225">
        <f>IF(ISNUMBER(IF(D_I="SI",Datos!K16,Datos!K16+Datos!AE16)),IF(D_I="SI",Datos!K16,Datos!K16+Datos!AE16)," - ")</f>
        <v>794</v>
      </c>
      <c r="G16" s="1033" t="str">
        <f>IF(Datos!E16&lt;&gt;"",Datos!E16,Datos!D16)</f>
        <v>04</v>
      </c>
      <c r="H16" s="226">
        <f>IF(ISNUMBER(IF(D_I="SI",Datos!L16,Datos!L16+Datos!AF16)),IF(D_I="SI",Datos!L16,Datos!L16+Datos!AF16)," - ")</f>
        <v>960</v>
      </c>
      <c r="I16" s="1043" t="str">
        <f>IF(ISNUMBER(Datos!AS16/Datos!BM16),Datos!AS16/Datos!BM16," - ")</f>
        <v xml:space="preserve"> - </v>
      </c>
      <c r="J16" s="1044">
        <f>IF(ISNUMBER(Datos!BY16/Datos!CN16),Datos!BY16/Datos!CN16," - ")</f>
        <v>0</v>
      </c>
      <c r="K16" s="229">
        <f t="shared" si="3"/>
        <v>-4.9504950495049507E-2</v>
      </c>
      <c r="L16" s="1024">
        <f>IF(ISNUMBER(NºAsuntos!I16/NºAsuntos!G16),(NºAsuntos!I16/NºAsuntos!G16)*11," - ")</f>
        <v>13.299748110831235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111</v>
      </c>
      <c r="D17" s="224">
        <f>IF(ISNUMBER(IF(D_I="SI",Datos!I17,Datos!I17+Datos!AC17)),IF(D_I="SI",Datos!I17,Datos!I17+Datos!AC17)," - ")</f>
        <v>111</v>
      </c>
      <c r="E17" s="225">
        <f>IF(ISNUMBER(IF(D_I="SI",Datos!J17,Datos!J17+Datos!AD17)),IF(D_I="SI",Datos!J17,Datos!J17+Datos!AD17)," - ")</f>
        <v>121</v>
      </c>
      <c r="F17" s="225">
        <f>IF(ISNUMBER(IF(D_I="SI",Datos!K17,Datos!K17+Datos!AE17)),IF(D_I="SI",Datos!K17,Datos!K17+Datos!AE17)," - ")</f>
        <v>90</v>
      </c>
      <c r="G17" s="1033" t="str">
        <f>IF(Datos!E17&lt;&gt;"",Datos!E17,Datos!D17)</f>
        <v>37</v>
      </c>
      <c r="H17" s="226">
        <f>IF(ISNUMBER(IF(D_I="SI",Datos!L17,Datos!L17+Datos!AF17)),IF(D_I="SI",Datos!L17,Datos!L17+Datos!AF17)," - ")</f>
        <v>142</v>
      </c>
      <c r="I17" s="1043" t="str">
        <f>IF(ISNUMBER(Datos!AS17/Datos!BM17),Datos!AS17/Datos!BM17," - ")</f>
        <v xml:space="preserve"> - </v>
      </c>
      <c r="J17" s="1044" t="str">
        <f>IF(ISNUMBER((Datos!BY17+Datos!BZ17)/Datos!CN17),(Datos!BY17+Datos!BZ17)/Datos!CN17," - ")</f>
        <v xml:space="preserve"> - </v>
      </c>
      <c r="K17" s="229">
        <f t="shared" si="3"/>
        <v>0.27927927927927926</v>
      </c>
      <c r="L17" s="1024">
        <f>IF(ISNUMBER(NºAsuntos!I17/NºAsuntos!G17),(NºAsuntos!I17/NºAsuntos!G17)*11," - ")</f>
        <v>17.355555555555554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1121</v>
      </c>
      <c r="D18" s="1048">
        <f>SUBTOTAL(9,D15:D17)</f>
        <v>996</v>
      </c>
      <c r="E18" s="1049">
        <f>SUBTOTAL(9,E15:E17)</f>
        <v>865</v>
      </c>
      <c r="F18" s="1049">
        <f>SUBTOTAL(9,F15:F17)</f>
        <v>884</v>
      </c>
      <c r="G18" s="1051" t="str">
        <f ca="1">INDIRECT(CONCATENATE("G",ROW()-1))</f>
        <v>37</v>
      </c>
      <c r="H18" s="1052">
        <f ca="1">SUMIF(G$14:G17,G18,H$14:H17)</f>
        <v>142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1151</v>
      </c>
      <c r="D19" s="1070">
        <f>SUBTOTAL(9,D9:D18)</f>
        <v>1026</v>
      </c>
      <c r="E19" s="1071">
        <f>SUBTOTAL(9,E9:E18)</f>
        <v>896</v>
      </c>
      <c r="F19" s="1071">
        <f>SUBTOTAL(9,F9:F18)</f>
        <v>912</v>
      </c>
      <c r="G19" s="1072"/>
      <c r="H19" s="1073">
        <f ca="1">SUMIF(B9:B18,"TOTAL",H9:H18)</f>
        <v>142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Qdjz+QFD0/NPXbth6hn+qU/JsgBRSqkqK9xpxrLBvRqTCWySghzabQAJ1bbx3Psf+15BZpxLKGCHVQAXfHALg==" saltValue="loWgFMtGd7HqtiApqdoDV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9JNcMtoiAJ1QnBhT+T68hq48ByYTwNfazGsouJqhTDk39aB+Yxu0c68XcxMPvu4TNWOYHf9STFPY8bK8lEBvg==" saltValue="B7cBrwDV9dSRQgDaqQD7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31</v>
      </c>
      <c r="K10" s="180">
        <v>28</v>
      </c>
      <c r="L10" s="180">
        <v>33</v>
      </c>
      <c r="M10" s="180">
        <v>9</v>
      </c>
      <c r="N10" s="180">
        <v>5</v>
      </c>
      <c r="O10" s="180">
        <v>16</v>
      </c>
      <c r="P10" s="180">
        <v>1</v>
      </c>
      <c r="Q10" s="180">
        <v>3</v>
      </c>
      <c r="R10" s="180">
        <v>3</v>
      </c>
      <c r="S10" s="180">
        <v>30</v>
      </c>
      <c r="T10" s="180">
        <v>18</v>
      </c>
      <c r="U10" s="180">
        <v>16</v>
      </c>
      <c r="V10" s="180">
        <v>32</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18</v>
      </c>
      <c r="BA10" s="129">
        <f t="shared" si="0"/>
        <v>16</v>
      </c>
      <c r="BB10" s="129">
        <f t="shared" si="0"/>
        <v>32</v>
      </c>
      <c r="BC10" s="125">
        <f t="shared" si="0"/>
        <v>6</v>
      </c>
      <c r="BD10" s="126">
        <f>IF(ISNUMBER(BA10/AZ10),BA10/AZ10," - ")</f>
        <v>0.88888888888888884</v>
      </c>
      <c r="BE10" s="127">
        <f>IF(ISNUMBER(BB10/BA10),BB10/BA10, " - ")</f>
        <v>2</v>
      </c>
      <c r="BF10" s="127">
        <f>IF(ISNUMBER(BC10/BA10),BC10/BA10, " - ")</f>
        <v>0.375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1456</v>
      </c>
      <c r="J12" s="182">
        <v>517</v>
      </c>
      <c r="K12" s="182">
        <v>522</v>
      </c>
      <c r="L12" s="182">
        <v>1404</v>
      </c>
      <c r="M12" s="182">
        <v>119</v>
      </c>
      <c r="N12" s="182">
        <v>260</v>
      </c>
      <c r="O12" s="180">
        <v>352</v>
      </c>
      <c r="P12" s="182">
        <v>213</v>
      </c>
      <c r="Q12" s="182">
        <v>113</v>
      </c>
      <c r="R12" s="182">
        <v>2436</v>
      </c>
      <c r="S12" s="182">
        <v>1368</v>
      </c>
      <c r="T12" s="182">
        <v>656</v>
      </c>
      <c r="U12" s="182">
        <v>701</v>
      </c>
      <c r="V12" s="182">
        <v>1328</v>
      </c>
      <c r="W12" s="182">
        <v>189</v>
      </c>
      <c r="X12" s="188">
        <v>326</v>
      </c>
      <c r="Y12" s="190">
        <v>88</v>
      </c>
      <c r="Z12" s="180">
        <v>81</v>
      </c>
      <c r="AA12" s="180">
        <v>87</v>
      </c>
      <c r="AB12" s="180">
        <v>80</v>
      </c>
      <c r="AC12" s="182">
        <v>0</v>
      </c>
      <c r="AD12" s="182">
        <v>0</v>
      </c>
      <c r="AE12" s="182">
        <v>0</v>
      </c>
      <c r="AF12" s="188">
        <v>0</v>
      </c>
      <c r="AG12" s="201">
        <v>42</v>
      </c>
      <c r="AH12" s="182">
        <v>80</v>
      </c>
      <c r="AI12" s="182">
        <v>66</v>
      </c>
      <c r="AJ12" s="202">
        <v>56</v>
      </c>
      <c r="AK12" s="181">
        <v>0</v>
      </c>
      <c r="AL12" s="182">
        <v>0</v>
      </c>
      <c r="AM12" s="182">
        <v>0</v>
      </c>
      <c r="AN12" s="188">
        <v>0</v>
      </c>
      <c r="AO12" s="258">
        <v>3</v>
      </c>
      <c r="AP12" s="154">
        <v>3</v>
      </c>
      <c r="AQ12" s="154">
        <v>3</v>
      </c>
      <c r="AR12" s="153">
        <v>3</v>
      </c>
      <c r="AS12" s="339" t="s">
        <v>794</v>
      </c>
      <c r="AT12" s="202"/>
      <c r="AU12" s="201"/>
      <c r="AV12" s="202"/>
      <c r="AW12" s="201"/>
      <c r="AX12" s="202"/>
      <c r="AY12" s="126">
        <f t="shared" si="1"/>
        <v>1410</v>
      </c>
      <c r="AZ12" s="127">
        <f t="shared" si="1"/>
        <v>736</v>
      </c>
      <c r="BA12" s="127">
        <f t="shared" si="1"/>
        <v>767</v>
      </c>
      <c r="BB12" s="127">
        <f t="shared" si="1"/>
        <v>1384</v>
      </c>
      <c r="BC12" s="125">
        <f>IF(ISNUMBER(X12),X12," - ")</f>
        <v>326</v>
      </c>
      <c r="BD12" s="126">
        <f t="shared" si="2"/>
        <v>1.0421195652173914</v>
      </c>
      <c r="BE12" s="127">
        <f t="shared" si="3"/>
        <v>1.8044328552803128</v>
      </c>
      <c r="BF12" s="127">
        <f t="shared" si="4"/>
        <v>0.42503259452411996</v>
      </c>
      <c r="BG12" s="195">
        <f t="shared" si="5"/>
        <v>2.7979139504563233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1486</v>
      </c>
      <c r="J13" s="183">
        <f t="shared" si="6"/>
        <v>548</v>
      </c>
      <c r="K13" s="183">
        <f t="shared" si="6"/>
        <v>550</v>
      </c>
      <c r="L13" s="183">
        <f t="shared" si="6"/>
        <v>1437</v>
      </c>
      <c r="M13" s="183">
        <f t="shared" si="6"/>
        <v>128</v>
      </c>
      <c r="N13" s="183">
        <f t="shared" si="6"/>
        <v>265</v>
      </c>
      <c r="O13" s="183">
        <f t="shared" si="6"/>
        <v>368</v>
      </c>
      <c r="P13" s="183">
        <f t="shared" si="6"/>
        <v>214</v>
      </c>
      <c r="Q13" s="183">
        <f t="shared" si="6"/>
        <v>116</v>
      </c>
      <c r="R13" s="183">
        <f t="shared" si="6"/>
        <v>2439</v>
      </c>
      <c r="S13" s="183">
        <f t="shared" si="6"/>
        <v>1398</v>
      </c>
      <c r="T13" s="183">
        <f t="shared" si="6"/>
        <v>674</v>
      </c>
      <c r="U13" s="183">
        <f t="shared" si="6"/>
        <v>717</v>
      </c>
      <c r="V13" s="183">
        <f t="shared" si="6"/>
        <v>1360</v>
      </c>
      <c r="W13" s="183">
        <f t="shared" si="6"/>
        <v>195</v>
      </c>
      <c r="X13" s="183">
        <f t="shared" si="6"/>
        <v>330</v>
      </c>
      <c r="Y13" s="183">
        <f t="shared" si="6"/>
        <v>88</v>
      </c>
      <c r="Z13" s="183">
        <f t="shared" si="6"/>
        <v>81</v>
      </c>
      <c r="AA13" s="183">
        <f t="shared" si="6"/>
        <v>87</v>
      </c>
      <c r="AB13" s="183">
        <f t="shared" si="6"/>
        <v>80</v>
      </c>
      <c r="AC13" s="183">
        <f t="shared" si="6"/>
        <v>0</v>
      </c>
      <c r="AD13" s="183">
        <f t="shared" si="6"/>
        <v>0</v>
      </c>
      <c r="AE13" s="183">
        <f t="shared" si="6"/>
        <v>0</v>
      </c>
      <c r="AF13" s="183">
        <f>SUBTOTAL(9,AF9:AF12)</f>
        <v>0</v>
      </c>
      <c r="AG13" s="183">
        <f t="shared" ref="AG13:AT13" si="7">SUBTOTAL(9,AG8:AG12)</f>
        <v>42</v>
      </c>
      <c r="AH13" s="183">
        <f t="shared" si="7"/>
        <v>80</v>
      </c>
      <c r="AI13" s="183">
        <f t="shared" si="7"/>
        <v>66</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1440</v>
      </c>
      <c r="AZ13" s="183">
        <f>SUBTOTAL(9,AZ8:AZ12)</f>
        <v>754</v>
      </c>
      <c r="BA13" s="183">
        <f>SUBTOTAL(9,BA8:BA12)</f>
        <v>783</v>
      </c>
      <c r="BB13" s="183">
        <f>SUBTOTAL(9,BB8:BB12)</f>
        <v>1416</v>
      </c>
      <c r="BC13" s="183">
        <f>SUBTOTAL(9,BC8:BC12)</f>
        <v>332</v>
      </c>
      <c r="BD13" s="204">
        <f>IF(ISNUMBER(BA13/AZ13),BA13/AZ13," - ")</f>
        <v>1.0384615384615385</v>
      </c>
      <c r="BE13" s="205">
        <f>IF(ISNUMBER(BB13/BA13),BB13/BA13, " - ")</f>
        <v>1.8084291187739463</v>
      </c>
      <c r="BF13" s="205">
        <f>IF(ISNUMBER(BC13/BA13),BC13/BA13, " - ")</f>
        <v>0.42401021711366538</v>
      </c>
      <c r="BG13" s="206">
        <f>IF(ISNUMBER((AY13+AZ13)/BA13),(AY13+AZ13)/BA13," - ")</f>
        <v>2.8020434227330777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885</v>
      </c>
      <c r="J16" s="182">
        <v>744</v>
      </c>
      <c r="K16" s="182">
        <v>794</v>
      </c>
      <c r="L16" s="182">
        <v>960</v>
      </c>
      <c r="M16" s="182">
        <v>59</v>
      </c>
      <c r="N16" s="182">
        <v>551</v>
      </c>
      <c r="O16" s="180">
        <v>16</v>
      </c>
      <c r="P16" s="182">
        <v>27</v>
      </c>
      <c r="Q16" s="182">
        <v>16</v>
      </c>
      <c r="R16" s="182">
        <v>134</v>
      </c>
      <c r="S16" s="182">
        <v>698</v>
      </c>
      <c r="T16" s="182">
        <v>754</v>
      </c>
      <c r="U16" s="182">
        <v>728</v>
      </c>
      <c r="V16" s="182">
        <v>729</v>
      </c>
      <c r="W16" s="182">
        <v>93</v>
      </c>
      <c r="X16" s="188">
        <v>504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698</v>
      </c>
      <c r="AZ16" s="127">
        <f t="shared" si="9"/>
        <v>754</v>
      </c>
      <c r="BA16" s="127">
        <f t="shared" si="9"/>
        <v>728</v>
      </c>
      <c r="BB16" s="127">
        <f t="shared" si="9"/>
        <v>729</v>
      </c>
      <c r="BC16" s="125">
        <f>IF(ISNUMBER(W16),W16," - ")</f>
        <v>93</v>
      </c>
      <c r="BD16" s="126">
        <f t="shared" ref="BD16" si="11">IF(ISNUMBER(BA16/AZ16),BA16/AZ16," - ")</f>
        <v>0.96551724137931039</v>
      </c>
      <c r="BE16" s="127">
        <f t="shared" ref="BE16" si="12">IF(ISNUMBER(BB16/BA16),BB16/BA16, " - ")</f>
        <v>1.0013736263736264</v>
      </c>
      <c r="BF16" s="127">
        <f t="shared" ref="BF16" si="13">IF(ISNUMBER(BC16/BA16),BC16/BA16, " - ")</f>
        <v>0.12774725274725274</v>
      </c>
      <c r="BG16" s="195">
        <f t="shared" si="10"/>
        <v>1.9945054945054945</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111</v>
      </c>
      <c r="J17" s="182">
        <v>121</v>
      </c>
      <c r="K17" s="182">
        <v>90</v>
      </c>
      <c r="L17" s="182">
        <v>142</v>
      </c>
      <c r="M17" s="182">
        <v>12</v>
      </c>
      <c r="N17" s="182">
        <v>51</v>
      </c>
      <c r="O17" s="182">
        <v>0</v>
      </c>
      <c r="P17" s="182">
        <v>0</v>
      </c>
      <c r="Q17" s="182">
        <v>0</v>
      </c>
      <c r="R17" s="182">
        <v>1</v>
      </c>
      <c r="S17" s="182">
        <v>85</v>
      </c>
      <c r="T17" s="182">
        <v>89</v>
      </c>
      <c r="U17" s="182">
        <v>80</v>
      </c>
      <c r="V17" s="182">
        <v>96</v>
      </c>
      <c r="W17" s="182">
        <v>10</v>
      </c>
      <c r="X17" s="188">
        <v>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89</v>
      </c>
      <c r="BA17" s="129">
        <f t="shared" si="14"/>
        <v>80</v>
      </c>
      <c r="BB17" s="129">
        <f t="shared" si="14"/>
        <v>96</v>
      </c>
      <c r="BC17" s="125">
        <f>IF(ISNUMBER(W17),W17," - ")</f>
        <v>10</v>
      </c>
      <c r="BD17" s="126">
        <f>IF(ISNUMBER(BA17/AZ17),BA17/AZ17," - ")</f>
        <v>0.898876404494382</v>
      </c>
      <c r="BE17" s="127">
        <f>IF(ISNUMBER(BB17/BA17),BB17/BA17, " - ")</f>
        <v>1.2</v>
      </c>
      <c r="BF17" s="127">
        <f>IF(ISNUMBER(BC17/BA17),BC17/BA17, " - ")</f>
        <v>0.125</v>
      </c>
      <c r="BG17" s="195">
        <f>IF(ISNUMBER((AY17+AZ17)/BA17),(AY17+AZ17)/BA17," - ")</f>
        <v>2.1749999999999998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996</v>
      </c>
      <c r="J18" s="183">
        <f t="shared" si="15"/>
        <v>865</v>
      </c>
      <c r="K18" s="183">
        <f t="shared" si="15"/>
        <v>884</v>
      </c>
      <c r="L18" s="183">
        <f t="shared" si="15"/>
        <v>1102</v>
      </c>
      <c r="M18" s="183">
        <f t="shared" si="15"/>
        <v>71</v>
      </c>
      <c r="N18" s="183">
        <f t="shared" si="15"/>
        <v>602</v>
      </c>
      <c r="O18" s="183">
        <f t="shared" si="15"/>
        <v>16</v>
      </c>
      <c r="P18" s="183">
        <f t="shared" si="15"/>
        <v>27</v>
      </c>
      <c r="Q18" s="183">
        <f t="shared" si="15"/>
        <v>16</v>
      </c>
      <c r="R18" s="183">
        <f t="shared" si="15"/>
        <v>135</v>
      </c>
      <c r="S18" s="183">
        <f t="shared" si="15"/>
        <v>783</v>
      </c>
      <c r="T18" s="183">
        <f t="shared" si="15"/>
        <v>843</v>
      </c>
      <c r="U18" s="183">
        <f t="shared" si="15"/>
        <v>808</v>
      </c>
      <c r="V18" s="183">
        <f t="shared" si="15"/>
        <v>825</v>
      </c>
      <c r="W18" s="183">
        <f t="shared" si="15"/>
        <v>103</v>
      </c>
      <c r="X18" s="183">
        <f t="shared" si="15"/>
        <v>558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783</v>
      </c>
      <c r="AZ18" s="183">
        <f>SUBTOTAL(9,AZ14:AZ17)</f>
        <v>843</v>
      </c>
      <c r="BA18" s="183">
        <f>SUBTOTAL(9,BA14:BA17)</f>
        <v>808</v>
      </c>
      <c r="BB18" s="183">
        <f>SUBTOTAL(9,BB14:BB17)</f>
        <v>825</v>
      </c>
      <c r="BC18" s="183">
        <f>SUBTOTAL(9,BC14:BC17)</f>
        <v>103</v>
      </c>
      <c r="BD18" s="204">
        <f>IF(ISNUMBER(BA18/AZ18),BA18/AZ18," - ")</f>
        <v>0.95848161328588377</v>
      </c>
      <c r="BE18" s="205">
        <f>IF(ISNUMBER(BB18/BA18),BB18/BA18, " - ")</f>
        <v>1.0210396039603959</v>
      </c>
      <c r="BF18" s="205">
        <f>IF(ISNUMBER(BC18/BA18),BC18/BA18, " - ")</f>
        <v>0.12747524752475248</v>
      </c>
      <c r="BG18" s="206">
        <f>IF(ISNUMBER((AY18+AZ18)/BA18),(AY18+AZ18)/BA18," - ")</f>
        <v>2.0123762376237622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2482</v>
      </c>
      <c r="J19" s="134">
        <f t="shared" si="18"/>
        <v>1413</v>
      </c>
      <c r="K19" s="134">
        <f t="shared" si="18"/>
        <v>1434</v>
      </c>
      <c r="L19" s="134">
        <f t="shared" si="18"/>
        <v>2539</v>
      </c>
      <c r="M19" s="134">
        <f t="shared" si="18"/>
        <v>199</v>
      </c>
      <c r="N19" s="134">
        <f t="shared" si="18"/>
        <v>867</v>
      </c>
      <c r="O19" s="134">
        <f t="shared" si="18"/>
        <v>384</v>
      </c>
      <c r="P19" s="134">
        <f t="shared" si="18"/>
        <v>241</v>
      </c>
      <c r="Q19" s="134">
        <f t="shared" si="18"/>
        <v>132</v>
      </c>
      <c r="R19" s="134">
        <f t="shared" si="18"/>
        <v>2574</v>
      </c>
      <c r="S19" s="134">
        <f t="shared" si="18"/>
        <v>2181</v>
      </c>
      <c r="T19" s="134">
        <f t="shared" si="18"/>
        <v>1517</v>
      </c>
      <c r="U19" s="134">
        <f t="shared" si="18"/>
        <v>1525</v>
      </c>
      <c r="V19" s="134">
        <f t="shared" si="18"/>
        <v>2185</v>
      </c>
      <c r="W19" s="134">
        <f t="shared" si="18"/>
        <v>298</v>
      </c>
      <c r="X19" s="134">
        <f t="shared" si="18"/>
        <v>888</v>
      </c>
      <c r="Y19" s="134">
        <f t="shared" si="18"/>
        <v>88</v>
      </c>
      <c r="Z19" s="134">
        <f t="shared" si="18"/>
        <v>81</v>
      </c>
      <c r="AA19" s="134">
        <f t="shared" si="18"/>
        <v>87</v>
      </c>
      <c r="AB19" s="134">
        <f t="shared" si="18"/>
        <v>80</v>
      </c>
      <c r="AC19" s="134">
        <f t="shared" si="18"/>
        <v>0</v>
      </c>
      <c r="AD19" s="134">
        <f t="shared" si="18"/>
        <v>0</v>
      </c>
      <c r="AE19" s="134">
        <f t="shared" si="18"/>
        <v>0</v>
      </c>
      <c r="AF19" s="134">
        <f t="shared" si="18"/>
        <v>0</v>
      </c>
      <c r="AG19" s="134">
        <f t="shared" si="18"/>
        <v>42</v>
      </c>
      <c r="AH19" s="134">
        <f t="shared" si="18"/>
        <v>80</v>
      </c>
      <c r="AI19" s="134">
        <f t="shared" si="18"/>
        <v>66</v>
      </c>
      <c r="AJ19" s="134">
        <f t="shared" si="18"/>
        <v>56</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2223</v>
      </c>
      <c r="AZ19" s="134">
        <f>SUBTOTAL(9,AZ9:AZ18)</f>
        <v>1597</v>
      </c>
      <c r="BA19" s="134">
        <f>SUBTOTAL(9,BA9:BA18)</f>
        <v>1591</v>
      </c>
      <c r="BB19" s="134">
        <f>SUBTOTAL(9,BB9:BB18)</f>
        <v>2241</v>
      </c>
      <c r="BC19" s="135">
        <f>SUBTOTAL(9,BC9:BC18)</f>
        <v>435</v>
      </c>
      <c r="BD19" s="212">
        <f>IF(ISNUMBER(BA19/AZ19),BA19/AZ19," - ")</f>
        <v>0.99624295554164055</v>
      </c>
      <c r="BE19" s="209">
        <f>IF(ISNUMBER(BB19/BA19),BB19/BA19, " - ")</f>
        <v>1.4085480829666877</v>
      </c>
      <c r="BF19" s="209">
        <f>IF(ISNUMBER(BC19/BA19),BC19/BA19, " - ")</f>
        <v>0.27341294783155246</v>
      </c>
      <c r="BG19" s="135">
        <f>IF(ISNUMBER((AY19+AZ19)/BA19),(AY19+AZ19)/BA19," - ")</f>
        <v>2.4010056568196103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pC4/PUAqFigd48fmDMgQDuJT008W5UH7qo07hYVxvxkGqUo1aCa2AbnfWqxyl6EEFMeVx98DTg1WORj+fk6A==" saltValue="WXZuDY/sVPAEftffpn3Z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5Xugt3oRlhBRcnva4hRpRr1s6P1Yjcpw1aaV4kT2/b24JiujTat12OO8mtkfWV0n03lHLLb02zVEA39r5O2rw==" saltValue="Y62R5Y1pjnifxReeyffI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UBEDA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28</v>
      </c>
      <c r="AC10" s="225">
        <f>IF(ISNUMBER(Datos!Q10),Datos!Q10," - ")</f>
        <v>3</v>
      </c>
      <c r="AD10" s="333"/>
      <c r="AE10" s="483"/>
      <c r="AF10" s="331">
        <f>IF(ISNUMBER(Datos!L10),Datos!L10,"-")</f>
        <v>33</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5</v>
      </c>
      <c r="BE10" s="228" t="str">
        <f>IF(ISNUMBER(Datos!BW10),Datos!BW10," - ")</f>
        <v xml:space="preserve"> - </v>
      </c>
      <c r="BF10" s="227" t="str">
        <f>IF(ISNUMBER(Datos!BX10),Datos!BX10," - ")</f>
        <v xml:space="preserve"> - </v>
      </c>
      <c r="BG10" s="242">
        <f>IF(ISNUMBER(Datos!K10/Datos!J10),Datos!K10/Datos!J10," - ")</f>
        <v>0.90322580645161288</v>
      </c>
      <c r="BH10" s="259">
        <f>IF(ISNUMBER(((Datos!L10/Datos!K10)*11)/factor_trimestre),((Datos!L10/Datos!K10)*11)/factor_trimestre," - ")</f>
        <v>3.535714285714286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213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80</v>
      </c>
      <c r="AI12" s="333" t="str">
        <f>IF(ISNUMBER(Datos!CD12),Datos!CD12,"-")</f>
        <v>-</v>
      </c>
      <c r="AJ12" s="333" t="str">
        <f>IF(ISNUMBER(Datos!EN12),Datos!EN12," - ")</f>
        <v xml:space="preserve"> - </v>
      </c>
      <c r="AK12" s="333"/>
      <c r="AL12" s="478"/>
      <c r="AM12" s="334">
        <f>IF(ISNUMBER(Datos!R12),Datos!R12," - ")</f>
        <v>2436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119</v>
      </c>
      <c r="BD12" s="228">
        <f>IF(ISNUMBER(Datos!N12),Datos!N12," - ")</f>
        <v>260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1.0183946488294315</v>
      </c>
      <c r="BH12" s="259">
        <f>IF(ISNUMBER(((IF(J_V="SI",Datos!L12/Datos!K12,(Datos!L12+Datos!AB12)/(Datos!K12+Datos!AA12)))*11)/factor_trimestre),((IF(J_V="SI",Datos!L12/Datos!K12,(Datos!L12+Datos!AB12)/(Datos!K12+Datos!AA12)))*11)/factor_trimestre," - ")</f>
        <v>7.3103448275862073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4.2808219178082189E-2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81</v>
      </c>
      <c r="O13" s="899">
        <f t="shared" si="0"/>
        <v>0</v>
      </c>
      <c r="P13" s="899">
        <f t="shared" si="0"/>
        <v>0</v>
      </c>
      <c r="Q13" s="898">
        <f t="shared" si="0"/>
        <v>214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28</v>
      </c>
      <c r="AC13" s="898">
        <f t="shared" si="1"/>
        <v>116</v>
      </c>
      <c r="AD13" s="898">
        <f t="shared" si="1"/>
        <v>0</v>
      </c>
      <c r="AE13" s="898">
        <f t="shared" si="1"/>
        <v>0</v>
      </c>
      <c r="AF13" s="898">
        <f t="shared" si="1"/>
        <v>33</v>
      </c>
      <c r="AG13" s="898">
        <f t="shared" si="1"/>
        <v>0</v>
      </c>
      <c r="AH13" s="898">
        <f t="shared" si="1"/>
        <v>80</v>
      </c>
      <c r="AI13" s="898">
        <f t="shared" si="1"/>
        <v>0</v>
      </c>
      <c r="AJ13" s="898">
        <f t="shared" si="1"/>
        <v>0</v>
      </c>
      <c r="AK13" s="898">
        <f t="shared" si="1"/>
        <v>0</v>
      </c>
      <c r="AL13" s="898">
        <f t="shared" si="1"/>
        <v>0</v>
      </c>
      <c r="AM13" s="898">
        <f t="shared" si="1"/>
        <v>2439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128</v>
      </c>
      <c r="BD13" s="898">
        <f t="shared" si="1"/>
        <v>265</v>
      </c>
      <c r="BE13" s="898">
        <f t="shared" si="1"/>
        <v>0</v>
      </c>
      <c r="BF13" s="898">
        <f t="shared" si="1"/>
        <v>0</v>
      </c>
      <c r="BG13" s="898">
        <f>IF(ISNUMBER(Datos!K13/Datos!J13),Datos!K13/Datos!J13," - ")</f>
        <v>1.0036496350364963</v>
      </c>
      <c r="BH13" s="902">
        <f>IF(ISNUMBER(((Datos!L13/Datos!K13)*11)/factor_trimestre),((Datos!L13/Datos!K13)*11)/factor_trimestre," - ")</f>
        <v>7.8381818181818188</v>
      </c>
      <c r="BI13" s="898">
        <f>IF(ISNUMBER('Resol  Asuntos'!D13/NºAsuntos!G13),'Resol  Asuntos'!D13/NºAsuntos!G13," - ")</f>
        <v>0.20094191522762953</v>
      </c>
      <c r="BJ13" s="898" t="str">
        <f>IF(ISNUMBER(Datos!CI13/Datos!CJ13),Datos!CI13/Datos!CJ13," - ")</f>
        <v xml:space="preserve"> - </v>
      </c>
      <c r="BK13" s="898">
        <f>SUBTOTAL(9,BK8:BK12)</f>
        <v>0</v>
      </c>
      <c r="BL13" s="898">
        <f>IF(ISNUMBER((I13-AB13+L13)/(F13)),(I13-AB13+L13)/(F13)," - ")</f>
        <v>-0.93333333333333335</v>
      </c>
      <c r="BM13" s="903">
        <f>SUBTOTAL(9,BM9:BM12)</f>
        <v>-0.35719178082191783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1010</v>
      </c>
      <c r="G16" s="597">
        <f>IF(ISNUMBER(IF(D_I="SI",Datos!I16,Datos!I16+Datos!AC16)),IF(D_I="SI",Datos!I16,Datos!I16+Datos!AC16)," - ")</f>
        <v>885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794</v>
      </c>
      <c r="AC16" s="225">
        <f>IF(ISNUMBER(Datos!Q16),Datos!Q16," - ")</f>
        <v>16</v>
      </c>
      <c r="AD16" s="333"/>
      <c r="AE16" s="483"/>
      <c r="AF16" s="595">
        <f>IF(ISNUMBER(IF(D_I="SI",Datos!L16,Datos!L16+Datos!AF16)),IF(D_I="SI",Datos!L16,Datos!L16+Datos!AF16)," - ")</f>
        <v>960</v>
      </c>
      <c r="AG16" s="333"/>
      <c r="AH16" s="333"/>
      <c r="AI16" s="333"/>
      <c r="AJ16" s="333"/>
      <c r="AK16" s="333"/>
      <c r="AL16" s="478"/>
      <c r="AM16" s="334">
        <f>IF(ISNUMBER(Datos!R16),Datos!R16," - ")</f>
        <v>134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59</v>
      </c>
      <c r="BD16" s="228">
        <f>IF(ISNUMBER(Datos!N16),Datos!N16," - ")</f>
        <v>551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1.0672043010752688</v>
      </c>
      <c r="BH16" s="259">
        <f>IF(ISNUMBER(((IF(D_I="SI",Datos!L16/Datos!K16,(Datos!L16+Datos!AF16)/(Datos!K16+Datos!AE16)))*11)/factor_trimestre),((IF(D_I="SI",Datos!L16/Datos!K16,(Datos!L16+Datos!AF16)/(Datos!K16+Datos!AE16)))*11)/factor_trimestre," - ")</f>
        <v>3.6272040302267006</v>
      </c>
      <c r="BI16" s="242">
        <f>IF(ISNUMBER('Resol  Asuntos'!D16/NºAsuntos!G16),'Resol  Asuntos'!D16/NºAsuntos!G16," - ")</f>
        <v>7.4307304785894202E-2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90</v>
      </c>
      <c r="AC17" s="225">
        <f>IF(ISNUMBER(Datos!Q17),Datos!Q17," - ")</f>
        <v>0</v>
      </c>
      <c r="AD17" s="333"/>
      <c r="AE17" s="483"/>
      <c r="AF17" s="331">
        <f>IF(ISNUMBER(Datos!L17),Datos!L17,"-")</f>
        <v>142</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0.74380165289256195</v>
      </c>
      <c r="BH17" s="259">
        <f>IF(ISNUMBER(((IF(D_I="SI",Datos!L17/Datos!K17,(Datos!L17+Datos!AF17)/(Datos!K17+Datos!AE17)))*11)/factor_trimestre),((IF(D_I="SI",Datos!L17/Datos!K17,(Datos!L17+Datos!AF17)/(Datos!K17+Datos!AE17)))*11)/factor_trimestre," - ")</f>
        <v>4.7333333333333334</v>
      </c>
      <c r="BI17" s="242">
        <f>IF(ISNUMBER('Resol  Asuntos'!D17/NºAsuntos!G17),'Resol  Asuntos'!D17/NºAsuntos!G17," - ")</f>
        <v>0.13333333333333333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1010</v>
      </c>
      <c r="G18" s="897">
        <f>SUBTOTAL(9,G15:G17)</f>
        <v>996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884</v>
      </c>
      <c r="AC18" s="898">
        <f t="shared" si="4"/>
        <v>16</v>
      </c>
      <c r="AD18" s="898">
        <f t="shared" si="4"/>
        <v>0</v>
      </c>
      <c r="AE18" s="898">
        <f t="shared" si="4"/>
        <v>0</v>
      </c>
      <c r="AF18" s="898">
        <f t="shared" si="4"/>
        <v>1102</v>
      </c>
      <c r="AG18" s="898">
        <f t="shared" si="4"/>
        <v>0</v>
      </c>
      <c r="AH18" s="898">
        <f t="shared" si="4"/>
        <v>0</v>
      </c>
      <c r="AI18" s="898">
        <f t="shared" si="4"/>
        <v>0</v>
      </c>
      <c r="AJ18" s="898">
        <f t="shared" si="4"/>
        <v>0</v>
      </c>
      <c r="AK18" s="898">
        <f t="shared" si="4"/>
        <v>0</v>
      </c>
      <c r="AL18" s="898">
        <f t="shared" si="4"/>
        <v>0</v>
      </c>
      <c r="AM18" s="898">
        <f t="shared" si="4"/>
        <v>135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71</v>
      </c>
      <c r="BD18" s="898">
        <f t="shared" si="4"/>
        <v>602</v>
      </c>
      <c r="BE18" s="898">
        <f t="shared" si="4"/>
        <v>0</v>
      </c>
      <c r="BF18" s="898">
        <f t="shared" si="4"/>
        <v>0</v>
      </c>
      <c r="BG18" s="898">
        <f>IF(ISNUMBER(Datos!K18/Datos!J18),Datos!K18/Datos!J18," - ")</f>
        <v>1.0219653179190751</v>
      </c>
      <c r="BH18" s="902">
        <f>IF(ISNUMBER(((Datos!L18/Datos!K18)*11)/factor_trimestre),((Datos!L18/Datos!K18)*11)/factor_trimestre," - ")</f>
        <v>3.7398190045248869</v>
      </c>
      <c r="BI18" s="898">
        <f>SUBTOTAL(9,BI15:BI17)</f>
        <v>0.20764063811922753</v>
      </c>
      <c r="BJ18" s="898">
        <f>SUBTOTAL(9,BJ15:BJ17)</f>
        <v>0</v>
      </c>
      <c r="BK18" s="898">
        <f>SUBTOTAL(9,BK15:BK17)</f>
        <v>0</v>
      </c>
      <c r="BL18" s="898">
        <f>IF(ISNUMBER((I18-AB18+L18)/(F18)),(I18-AB18+L18)/(F18)," - ")</f>
        <v>-0.87524752475247525</v>
      </c>
      <c r="BM18" s="904">
        <f>IF(ISNUMBER((Datos!P18-Datos!Q18)/(Datos!R18-Datos!P18+Datos!Q18)),(Datos!P18-Datos!Q18)/(Datos!R18-Datos!P18+Datos!Q18)," - ")</f>
        <v>8.8709677419354843E-2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1040</v>
      </c>
      <c r="G19" s="819">
        <f t="shared" si="6"/>
        <v>1026</v>
      </c>
      <c r="H19" s="821">
        <f t="shared" si="6"/>
        <v>0</v>
      </c>
      <c r="I19" s="819">
        <f t="shared" si="6"/>
        <v>0</v>
      </c>
      <c r="J19" s="821">
        <f t="shared" si="6"/>
        <v>0</v>
      </c>
      <c r="K19" s="821">
        <f t="shared" si="6"/>
        <v>0</v>
      </c>
      <c r="L19" s="880">
        <f t="shared" si="6"/>
        <v>0</v>
      </c>
      <c r="M19" s="880">
        <f t="shared" si="6"/>
        <v>0</v>
      </c>
      <c r="N19" s="880">
        <f t="shared" si="6"/>
        <v>81</v>
      </c>
      <c r="O19" s="880">
        <f t="shared" si="6"/>
        <v>0</v>
      </c>
      <c r="P19" s="880">
        <f t="shared" si="6"/>
        <v>0</v>
      </c>
      <c r="Q19" s="821">
        <f t="shared" si="6"/>
        <v>241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912</v>
      </c>
      <c r="AC19" s="820">
        <f t="shared" si="7"/>
        <v>132</v>
      </c>
      <c r="AD19" s="820">
        <f t="shared" si="7"/>
        <v>0</v>
      </c>
      <c r="AE19" s="820">
        <f t="shared" si="7"/>
        <v>0</v>
      </c>
      <c r="AF19" s="827">
        <f t="shared" si="7"/>
        <v>1135</v>
      </c>
      <c r="AG19" s="827">
        <f t="shared" si="7"/>
        <v>0</v>
      </c>
      <c r="AH19" s="827">
        <f t="shared" si="7"/>
        <v>80</v>
      </c>
      <c r="AI19" s="827">
        <f t="shared" si="7"/>
        <v>0</v>
      </c>
      <c r="AJ19" s="820">
        <f t="shared" si="7"/>
        <v>0</v>
      </c>
      <c r="AK19" s="827">
        <f t="shared" si="7"/>
        <v>0</v>
      </c>
      <c r="AL19" s="827">
        <f t="shared" si="7"/>
        <v>0</v>
      </c>
      <c r="AM19" s="827">
        <f t="shared" si="7"/>
        <v>2574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199</v>
      </c>
      <c r="BD19" s="819">
        <f t="shared" si="7"/>
        <v>867</v>
      </c>
      <c r="BE19" s="819">
        <f t="shared" si="7"/>
        <v>0</v>
      </c>
      <c r="BF19" s="829">
        <f t="shared" si="7"/>
        <v>0</v>
      </c>
      <c r="BG19" s="914">
        <f>IF(ISNUMBER(Datos!K19/Datos!J19),Datos!K19/Datos!J19," - ")</f>
        <v>1.0148619957537155</v>
      </c>
      <c r="BH19" s="914">
        <f>IF(ISNUMBER(((Datos!L19/Datos!K19)*11)/factor_trimestre),((Datos!L19/Datos!K19)*11)/factor_trimestre," - ")</f>
        <v>5.3117154811715475</v>
      </c>
      <c r="BI19" s="812">
        <f>IF(ISNUMBER(Datos!J19/Datos!I19),Datos!J19/Datos!I19," - ")</f>
        <v>0.56929895245769546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-0.87692307692307692</v>
      </c>
      <c r="BM19" s="888">
        <f>IF(ISNUMBER((Datos!P19-Datos!Q19+R19)/(Datos!R19-Datos!P19+Datos!Q19-R19)),(Datos!P19-Datos!Q19+R19)/(Datos!R19-Datos!P19+Datos!Q19-R19)," - ")</f>
        <v>4.4219066937119675E-2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410.4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565.80326380583324</v>
      </c>
      <c r="G21" s="551">
        <f>IF(ISNUMBER(STDEV(G8:G18)),STDEV(G8:G18),"-")</f>
        <v>486.62644810984119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434.78868430537614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50.776635046708897</v>
      </c>
      <c r="BD21" s="550"/>
      <c r="BE21" s="550">
        <f>IF(ISNUMBER(STDEV(BE8:BE18)),STDEV(BE8:BE18),"-")</f>
        <v>0</v>
      </c>
      <c r="BF21" s="555">
        <f>IF(ISNUMBER(STDEV(BF8:BF18)),STDEV(BF8:BF18),"-")</f>
        <v>0</v>
      </c>
      <c r="BG21" s="774">
        <f>IF(ISNUMBER(STDEV(BG8:BG18)),STDEV(BG8:BG18),"-")</f>
        <v>0.11883787891225951</v>
      </c>
      <c r="BH21" s="775">
        <f>IF(ISNUMBER(STDEV(BH8:BH18)),STDEV(BH8:BH18),"-")</f>
        <v>1.9482422393096959</v>
      </c>
      <c r="BI21" s="248">
        <f>IF(ISNUMBER(STDEV(BI8:BI18)),STDEV(BI8:BI18),"-")</f>
        <v>6.287258488686398E-2</v>
      </c>
      <c r="BJ21" s="229" t="str">
        <f>IF(ISNUMBER(BL21/BM21),BL21/BM21," - ")</f>
        <v xml:space="preserve"> - </v>
      </c>
      <c r="BK21" s="574"/>
      <c r="BL21" s="558">
        <f>IF(ISNUMBER(STDEV(BL8:BL18)),STDEV(BL8:BL18),"-")</f>
        <v>4.107286913822851E-2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oQAgI0PRNRIpHF27aeIA4ggOVpcWsq7UP7rBP4anXxstJw2hdi9ee3v44U9bBhbhtfB5zn1495MzLzLYQ2Nw==" saltValue="QaeVa8HVDIUB79/fp7TA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UBEDA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28</v>
      </c>
      <c r="Z10" s="618">
        <f>IF(ISNUMBER(Datos!Q10),Datos!Q10," - ")</f>
        <v>3</v>
      </c>
      <c r="AA10" s="331">
        <f>IF(ISNUMBER(Datos!L10),Datos!L10,"-")</f>
        <v>33</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9</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3.535714285714286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2436</v>
      </c>
      <c r="AF12" s="228" t="str">
        <f>IF(ISNUMBER(Datos!BV12),Datos!BV12," - ")</f>
        <v xml:space="preserve"> - </v>
      </c>
      <c r="AG12" s="224" t="str">
        <f>IF(ISNUMBER(Datos!DV12),Datos!DV12," - ")</f>
        <v xml:space="preserve"> - </v>
      </c>
      <c r="AH12" s="297"/>
      <c r="AI12" s="226"/>
      <c r="AJ12" s="224">
        <f>IF(ISNUMBER(Datos!M12),Datos!M12," - ")</f>
        <v>119</v>
      </c>
      <c r="AK12" s="228">
        <f>IF(ISNUMBER(Datos!N12),Datos!N12," - ")</f>
        <v>260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7.3103448275862073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4.2808219178082189E-2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214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28</v>
      </c>
      <c r="Z13" s="906">
        <f t="shared" si="2"/>
        <v>116</v>
      </c>
      <c r="AA13" s="899">
        <f t="shared" si="2"/>
        <v>33</v>
      </c>
      <c r="AB13" s="899">
        <f t="shared" si="2"/>
        <v>0</v>
      </c>
      <c r="AC13" s="899">
        <f t="shared" si="2"/>
        <v>0</v>
      </c>
      <c r="AD13" s="899">
        <f t="shared" si="2"/>
        <v>0</v>
      </c>
      <c r="AE13" s="899">
        <f t="shared" si="2"/>
        <v>2439</v>
      </c>
      <c r="AF13" s="907">
        <f t="shared" si="2"/>
        <v>0</v>
      </c>
      <c r="AG13" s="907">
        <f t="shared" si="2"/>
        <v>0</v>
      </c>
      <c r="AH13" s="907">
        <f t="shared" si="2"/>
        <v>0</v>
      </c>
      <c r="AI13" s="907">
        <f t="shared" si="2"/>
        <v>0</v>
      </c>
      <c r="AJ13" s="907">
        <f t="shared" si="2"/>
        <v>128</v>
      </c>
      <c r="AK13" s="907">
        <f t="shared" si="2"/>
        <v>265</v>
      </c>
      <c r="AL13" s="907">
        <f t="shared" si="2"/>
        <v>0</v>
      </c>
      <c r="AM13" s="907">
        <f t="shared" si="2"/>
        <v>0</v>
      </c>
      <c r="AN13" s="907">
        <f t="shared" si="2"/>
        <v>0</v>
      </c>
      <c r="AO13" s="903">
        <f>IF(ISNUMBER(((NºAsuntos!I13/NºAsuntos!G13)*11)/factor_trimestre),((NºAsuntos!I13/NºAsuntos!G13)*11)/factor_trimestre," - ")</f>
        <v>7.1444270015698592</v>
      </c>
      <c r="AP13" s="909" t="str">
        <f>IF(ISNUMBER(Datos!CI13/Datos!CJ13),Datos!CI13/Datos!CJ13," - ")</f>
        <v xml:space="preserve"> - </v>
      </c>
      <c r="AQ13" s="927">
        <f t="shared" ref="AQ13:AV13" si="3">SUBTOTAL(9,AQ9:AQ12)</f>
        <v>0</v>
      </c>
      <c r="AR13" s="927">
        <f t="shared" si="3"/>
        <v>-0.35719178082191783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1010</v>
      </c>
      <c r="G16" s="224">
        <f>IF(ISNUMBER(IF(D_I="SI",Datos!I16,Datos!I16+Datos!AC16)),IF(D_I="SI",Datos!I16,Datos!I16+Datos!AC16)," - ")</f>
        <v>885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794</v>
      </c>
      <c r="Z16" s="618">
        <f>IF(ISNUMBER(Datos!Q16),Datos!Q16," - ")</f>
        <v>16</v>
      </c>
      <c r="AA16" s="331">
        <f>IF(ISNUMBER(IF(D_I="SI",Datos!L16,Datos!L16+Datos!AF16)),IF(D_I="SI",Datos!L16,Datos!L16+Datos!AF16)," - ")</f>
        <v>960</v>
      </c>
      <c r="AB16" s="333"/>
      <c r="AC16" s="333"/>
      <c r="AD16" s="483"/>
      <c r="AE16" s="483">
        <f>IF(ISNUMBER(Datos!R16),Datos!R16," - ")</f>
        <v>134</v>
      </c>
      <c r="AF16" s="228" t="str">
        <f>IF(ISNUMBER(Datos!BV16),Datos!BV16," - ")</f>
        <v xml:space="preserve"> - </v>
      </c>
      <c r="AG16" s="224"/>
      <c r="AH16" s="297"/>
      <c r="AI16" s="226"/>
      <c r="AJ16" s="224">
        <f>IF(ISNUMBER(Datos!M16),Datos!M16," - ")</f>
        <v>59</v>
      </c>
      <c r="AK16" s="228">
        <f>IF(ISNUMBER(Datos!N16),Datos!N16," - ")</f>
        <v>551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3.6272040302267006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90</v>
      </c>
      <c r="Z17" s="618">
        <f>IF(ISNUMBER(Datos!Q17),Datos!Q17," - ")</f>
        <v>0</v>
      </c>
      <c r="AA17" s="331">
        <f>IF(ISNUMBER(Datos!L17),Datos!L17,"-")</f>
        <v>142</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12</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4.7333333333333334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1010</v>
      </c>
      <c r="G18" s="897">
        <f>SUBTOTAL(9,G15:G17)</f>
        <v>996</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884</v>
      </c>
      <c r="Z18" s="931">
        <f t="shared" si="5"/>
        <v>16</v>
      </c>
      <c r="AA18" s="931">
        <f t="shared" si="5"/>
        <v>1102</v>
      </c>
      <c r="AB18" s="931">
        <f t="shared" si="5"/>
        <v>0</v>
      </c>
      <c r="AC18" s="931">
        <f t="shared" si="5"/>
        <v>0</v>
      </c>
      <c r="AD18" s="931">
        <f t="shared" si="5"/>
        <v>0</v>
      </c>
      <c r="AE18" s="931">
        <f t="shared" si="5"/>
        <v>135</v>
      </c>
      <c r="AF18" s="931">
        <f t="shared" si="5"/>
        <v>0</v>
      </c>
      <c r="AG18" s="931">
        <f t="shared" si="5"/>
        <v>0</v>
      </c>
      <c r="AH18" s="931">
        <f t="shared" si="5"/>
        <v>0</v>
      </c>
      <c r="AI18" s="931">
        <f t="shared" si="5"/>
        <v>0</v>
      </c>
      <c r="AJ18" s="931">
        <f t="shared" si="5"/>
        <v>71</v>
      </c>
      <c r="AK18" s="931">
        <f t="shared" si="5"/>
        <v>602</v>
      </c>
      <c r="AL18" s="931">
        <f t="shared" si="5"/>
        <v>0</v>
      </c>
      <c r="AM18" s="931">
        <f t="shared" si="5"/>
        <v>0</v>
      </c>
      <c r="AN18" s="931">
        <f t="shared" si="5"/>
        <v>0</v>
      </c>
      <c r="AO18" s="933">
        <f>IF(ISNUMBER(((NºAsuntos!I18/NºAsuntos!G18)*11)/factor_trimestre),((NºAsuntos!I18/NºAsuntos!G18)*11)/factor_trimestre," - ")</f>
        <v>3.7398190045248869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1040</v>
      </c>
      <c r="G19" s="819">
        <f t="shared" si="7"/>
        <v>1026</v>
      </c>
      <c r="H19" s="820">
        <f t="shared" si="7"/>
        <v>0</v>
      </c>
      <c r="I19" s="819">
        <f t="shared" si="7"/>
        <v>0</v>
      </c>
      <c r="J19" s="821">
        <f t="shared" si="7"/>
        <v>0</v>
      </c>
      <c r="K19" s="819">
        <f t="shared" si="7"/>
        <v>0</v>
      </c>
      <c r="L19" s="822">
        <f t="shared" si="7"/>
        <v>0</v>
      </c>
      <c r="M19" s="819">
        <f t="shared" si="7"/>
        <v>0</v>
      </c>
      <c r="N19" s="820">
        <f t="shared" si="7"/>
        <v>241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912</v>
      </c>
      <c r="Z19" s="826">
        <f t="shared" si="8"/>
        <v>132</v>
      </c>
      <c r="AA19" s="827">
        <f t="shared" si="8"/>
        <v>1135</v>
      </c>
      <c r="AB19" s="827">
        <f t="shared" si="8"/>
        <v>0</v>
      </c>
      <c r="AC19" s="827">
        <f t="shared" si="8"/>
        <v>0</v>
      </c>
      <c r="AD19" s="828">
        <f t="shared" si="8"/>
        <v>0</v>
      </c>
      <c r="AE19" s="828">
        <f t="shared" si="8"/>
        <v>2574</v>
      </c>
      <c r="AF19" s="829">
        <f t="shared" si="8"/>
        <v>0</v>
      </c>
      <c r="AG19" s="830">
        <f t="shared" si="8"/>
        <v>0</v>
      </c>
      <c r="AH19" s="831">
        <f t="shared" si="8"/>
        <v>0</v>
      </c>
      <c r="AI19" s="829">
        <f t="shared" si="8"/>
        <v>0</v>
      </c>
      <c r="AJ19" s="819">
        <f t="shared" si="8"/>
        <v>199</v>
      </c>
      <c r="AK19" s="819">
        <f t="shared" si="8"/>
        <v>867</v>
      </c>
      <c r="AL19" s="819">
        <f t="shared" si="8"/>
        <v>0</v>
      </c>
      <c r="AM19" s="832">
        <f t="shared" si="8"/>
        <v>0</v>
      </c>
      <c r="AN19" s="822">
        <f>IF(ISNUMBER(Datos!K19/Datos!J19),Datos!K19/Datos!J19," - ")</f>
        <v>1.0148619957537155</v>
      </c>
      <c r="AO19" s="822">
        <f>IF(ISNUMBER(FIND("06",Criterios!A8,1)),(IF(ISNUMBER(((Datos!R19/Datos!Q19)*11)/factor_trimestre),((Datos!R19/Datos!Q19)*11)/factor_trimestre," - ")),(IF(ISNUMBER(((Datos!L19/Datos!K19)*11)/factor_trimestre),((Datos!L19/Datos!K19)*11)/factor_trimestre," - ")))</f>
        <v>5.3117154811715475</v>
      </c>
      <c r="AP19" s="833" t="str">
        <f>IF(ISNUMBER(Datos!CI19/Datos!CJ19),Datos!CI19/Datos!CJ19," - ")</f>
        <v xml:space="preserve"> - </v>
      </c>
      <c r="AQ19" s="833">
        <f>IF(OR(ISNUMBER(FIND("01",Criterios!A8,1)),ISNUMBER(FIND("02",Criterios!A8,1)),ISNUMBER(FIND("03",Criterios!A8,1)),ISNUMBER(FIND("04",Criterios!A8,1))),(J19-Y19+K19)/(F19-K19),(I19-Y19+K19)/(F19-K19))</f>
        <v>-0.87692307692307692</v>
      </c>
      <c r="AR19" s="833">
        <f>IF(ISNUMBER((Datos!P19-Datos!Q19+O19)/(Datos!R19-Datos!P19+Datos!Q19-O19)),(Datos!P19-Datos!Q19+O19)/(Datos!R19-Datos!P19+Datos!Q19-O19)," - ")</f>
        <v>4.4219066937119675E-2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410.4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565.80326380583324</v>
      </c>
      <c r="G21" s="551">
        <f>IF(ISNUMBER(STDEV(G8:G18)),STDEV(G8:G18),"-")</f>
        <v>486.62644810984119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50.776635046708897</v>
      </c>
      <c r="AK21" s="251"/>
      <c r="AL21" s="251">
        <f>IF(ISNUMBER(STDEV(AL8:AL18)),STDEV(AL8:AL18),"-")</f>
        <v>0</v>
      </c>
      <c r="AM21" s="253">
        <f>IF(ISNUMBER(STDEV(AM8:AM18)),STDEV(AM8:AM18),"-")</f>
        <v>0</v>
      </c>
      <c r="AN21" s="538">
        <f>IF(ISNUMBER(STDEV(AN8:AN18)),STDEV(AN8:AN18),"-")</f>
        <v>0</v>
      </c>
      <c r="AO21" s="539">
        <f>IF(ISNUMBER(STDEV(AO8:AO18)),STDEV(AO8:AO18),"-")</f>
        <v>1.7676398770556256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yFFpm1Kkh+tcFyJINcm7OkdJv49E557M2HwrMQRo9F5cXPAQ7kWng4EFYdBLX4zEidY7w/TY5MTPg3apWrM7Q==" saltValue="mjrQFjXMTBOCA/YrTz7b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sxHvX/TS2nyg/YDKOpG74xH6o2NXryUWMviiXnhMHL90dOWli1TKxk9CJr4a13zXz9pJzVEndBPPMymb+nnnw==" saltValue="O3qCELd9fQU0VM3mcD/F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bULMi8x6x5mUkdlvMvNXSSMXkQH3+O4AHDtEJ19jM2yUzhgt+m3XFi//OZqD6EX+P8e0pJ/NF4SQy/LvukySA==" saltValue="TvQo4gZBkIKaOb9K0Ib1x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UBEDA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0.20094191522762953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0.1420873908820692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H2eaH9MXpMYvfEUjW1tHv4DLsIV9SAssc+Gp0RE7YiIHZ+7n5y1VZabVfvungzX5RvHt4baUXRaTqyaZtVWvw==" saltValue="rElHQXX2RPB06JLcIvjY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hj4w/pTd1E90z7e8YHcQ8x1EdEvhz6Dpoj8zuzgId13+mmHHKAW60TNaD/E9zHtWs+uu2ZgMvSGtqM1vyN02g==" saltValue="PwiK9KNVanMfmM0FEc0k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UBEDA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31</v>
      </c>
      <c r="F10" s="403">
        <f>IF(ISNUMBER(E10/B10),E10/B10," - ")</f>
        <v>31</v>
      </c>
      <c r="G10" s="402">
        <f>IF(ISNUMBER(Datos!K10),Datos!K10," - ")</f>
        <v>28</v>
      </c>
      <c r="H10" s="403">
        <f>IF(ISNUMBER(G10/B10),G10/B10," - ")</f>
        <v>28</v>
      </c>
      <c r="I10" s="402">
        <f>IF(ISNUMBER(Datos!L10),Datos!L10," - ")</f>
        <v>33</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1544</v>
      </c>
      <c r="D12" s="403">
        <f>IF(ISNUMBER(C12/Datos!BH12),C12/Datos!BH12," - ")</f>
        <v>514.66666666666663</v>
      </c>
      <c r="E12" s="402">
        <f>IF(ISNUMBER(IF(J_V="SI",Datos!J12,Datos!J12+Datos!Z12)),IF(J_V="SI",Datos!J12,Datos!J12+Datos!Z12)," - ")</f>
        <v>598</v>
      </c>
      <c r="F12" s="403">
        <f>IF(ISNUMBER(E12/B12),E12/B12," - ")</f>
        <v>199.33333333333334</v>
      </c>
      <c r="G12" s="402">
        <f>IF(ISNUMBER(IF(J_V="SI",Datos!K12,Datos!K12+Datos!AA12)),IF(J_V="SI",Datos!K12,Datos!K12+Datos!AA12)," - ")</f>
        <v>609</v>
      </c>
      <c r="H12" s="403">
        <f>IF(ISNUMBER(G12/B12),G12/B12," - ")</f>
        <v>203</v>
      </c>
      <c r="I12" s="402">
        <f>IF(ISNUMBER(IF(J_V="SI",Datos!L12,Datos!L12+Datos!AB12)),IF(J_V="SI",Datos!L12,Datos!L12+Datos!AB12)," - ")</f>
        <v>1484</v>
      </c>
      <c r="J12" s="403">
        <f>IF(ISNUMBER(I12/B12),I12/B12," - ")</f>
        <v>494.66666666666669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1574</v>
      </c>
      <c r="D13" s="849" t="str">
        <f>IF(ISNUMBER(C13/Datos!BI13),C13/Datos!BI13," - ")</f>
        <v xml:space="preserve"> - </v>
      </c>
      <c r="E13" s="848">
        <f>SUBTOTAL(9,E8:E12)</f>
        <v>629</v>
      </c>
      <c r="F13" s="849">
        <f>IF(ISNUMBER(E13/B13),E13/B13," - ")</f>
        <v>209.66666666666666</v>
      </c>
      <c r="G13" s="848">
        <f>SUBTOTAL(9,G8:G12)</f>
        <v>637</v>
      </c>
      <c r="H13" s="849">
        <f>IF(ISNUMBER(G13/B13),G13/B13," - ")</f>
        <v>212.33333333333334</v>
      </c>
      <c r="I13" s="848">
        <f>SUBTOTAL(9,I8:I12)</f>
        <v>1517</v>
      </c>
      <c r="J13" s="849">
        <f>IF(ISNUMBER(I13/B13),I13/B13," - ")</f>
        <v>505.66666666666669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885</v>
      </c>
      <c r="D16" s="403">
        <f>IF(ISNUMBER(C16/Datos!BH16),C16/Datos!BH16," - ")</f>
        <v>295</v>
      </c>
      <c r="E16" s="402">
        <f>IF(ISNUMBER(IF(D_I="SI",Datos!J16,Datos!J16+Datos!AD16)),IF(D_I="SI",Datos!J16,Datos!J16+Datos!AD16)," - ")</f>
        <v>744</v>
      </c>
      <c r="F16" s="403">
        <f>IF(ISNUMBER(E16/B16),E16/B16," - ")</f>
        <v>248</v>
      </c>
      <c r="G16" s="402">
        <f>IF(ISNUMBER(IF(D_I="SI",Datos!K16,Datos!K16+Datos!AE16)),IF(D_I="SI",Datos!K16,Datos!K16+Datos!AE16)," - ")</f>
        <v>794</v>
      </c>
      <c r="H16" s="403">
        <f>IF(ISNUMBER(G16/B16),G16/B16," - ")</f>
        <v>264.66666666666669</v>
      </c>
      <c r="I16" s="402">
        <f>IF(ISNUMBER(IF(D_I="SI",Datos!L16,Datos!L16+Datos!AF16)),IF(D_I="SI",Datos!L16,Datos!L16+Datos!AF16)," - ")</f>
        <v>960</v>
      </c>
      <c r="J16" s="403">
        <f>IF(ISNUMBER(I16/B16),I16/B16," - ")</f>
        <v>320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111</v>
      </c>
      <c r="D17" s="403">
        <f>IF(ISNUMBER(C17/Datos!BH17),C17/Datos!BH17," - ")</f>
        <v>111</v>
      </c>
      <c r="E17" s="402">
        <f>IF(ISNUMBER(IF(D_I="SI",Datos!J17,Datos!J17+Datos!AD17)),IF(D_I="SI",Datos!J17,Datos!J17+Datos!AD17)," - ")</f>
        <v>121</v>
      </c>
      <c r="F17" s="403">
        <f>IF(ISNUMBER(E17/B17),E17/B17," - ")</f>
        <v>121</v>
      </c>
      <c r="G17" s="402">
        <f>IF(ISNUMBER(IF(D_I="SI",Datos!K17,Datos!K17+Datos!AE17)),IF(D_I="SI",Datos!K17,Datos!K17+Datos!AE17)," - ")</f>
        <v>90</v>
      </c>
      <c r="H17" s="403">
        <f>IF(ISNUMBER(G17/B17),G17/B17," - ")</f>
        <v>90</v>
      </c>
      <c r="I17" s="402">
        <f>IF(ISNUMBER(IF(D_I="SI",Datos!L17,Datos!L17+Datos!AF17)),IF(D_I="SI",Datos!L17,Datos!L17+Datos!AF17)," - ")</f>
        <v>142</v>
      </c>
      <c r="J17" s="403">
        <f>IF(ISNUMBER(I17/B17),I17/B17," - ")</f>
        <v>142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996</v>
      </c>
      <c r="D18" s="849" t="str">
        <f>IF(ISNUMBER(C18/Datos!BI18),C18/Datos!BI18," - ")</f>
        <v xml:space="preserve"> - </v>
      </c>
      <c r="E18" s="848">
        <f>SUBTOTAL(9,E14:E17)</f>
        <v>865</v>
      </c>
      <c r="F18" s="849">
        <f>IF(ISNUMBER(E18/B18),E18/B18," - ")</f>
        <v>288.33333333333331</v>
      </c>
      <c r="G18" s="848">
        <f>SUBTOTAL(9,G14:G17)</f>
        <v>884</v>
      </c>
      <c r="H18" s="849">
        <f>IF(ISNUMBER(G18/B18),G18/B18," - ")</f>
        <v>294.66666666666669</v>
      </c>
      <c r="I18" s="848">
        <f>SUBTOTAL(9,I14:I17)</f>
        <v>1102</v>
      </c>
      <c r="J18" s="849">
        <f>IF(ISNUMBER(I18/B18),I18/B18," - ")</f>
        <v>367.33333333333331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2570</v>
      </c>
      <c r="D19" s="794" t="str">
        <f>IF(ISNUMBER(C19/Datos!BI19),C19/Datos!BI19," - ")</f>
        <v xml:space="preserve"> - </v>
      </c>
      <c r="E19" s="793">
        <f>SUBTOTAL(9,E9:E18)</f>
        <v>1494</v>
      </c>
      <c r="F19" s="794">
        <f>IF(ISNUMBER(E19/B19),E19/B19," - ")</f>
        <v>498</v>
      </c>
      <c r="G19" s="793">
        <f>SUBTOTAL(9,G9:G18)</f>
        <v>1521</v>
      </c>
      <c r="H19" s="794">
        <f>IF(ISNUMBER(G19/B19),G19/B19," - ")</f>
        <v>507</v>
      </c>
      <c r="I19" s="793">
        <f>SUBTOTAL(9,I9:I18)</f>
        <v>2619</v>
      </c>
      <c r="J19" s="794">
        <f>IF(ISNUMBER(I19/B19),I19/B19," - ")</f>
        <v>873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XIR6fLIP6YzLxyycNEbudgP1KpZjq0aKZiKj+zwByizCngT2coReyqdh+hf89RNtc0VYNHz9EIRp9lU8JxbHA==" saltValue="DZR0BDvtEQQuVHRlNvYz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UBEDA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28</v>
      </c>
      <c r="AC10" s="682" t="str">
        <f>IF(ISNUMBER(IF(D_I="SI",DatosP!K17,DatosP!K17+DatosP!AE17)),IF(D_I="SI",DatosP!K17,DatosP!K17+DatosP!AE17)," - ")</f>
        <v xml:space="preserve"> - </v>
      </c>
      <c r="AD10" s="684"/>
      <c r="AE10" s="684"/>
      <c r="AF10" s="687">
        <f>IF(ISNUMBER(Datos!L10),Datos!L10,"-")</f>
        <v>33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3.535714285714286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119</v>
      </c>
      <c r="AM12" s="689">
        <f>IF(ISNUMBER(Datos!N12+DatosP!N16),Datos!N12+DatosP!N16," - ")</f>
        <v>260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7.3103448275862073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4.2808219178082189E-2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214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28</v>
      </c>
      <c r="AC13" s="938">
        <f t="shared" si="1"/>
        <v>0</v>
      </c>
      <c r="AD13" s="938">
        <f t="shared" si="1"/>
        <v>113</v>
      </c>
      <c r="AE13" s="938">
        <f t="shared" si="1"/>
        <v>0</v>
      </c>
      <c r="AF13" s="938">
        <f t="shared" si="1"/>
        <v>33</v>
      </c>
      <c r="AG13" s="938">
        <f t="shared" si="1"/>
        <v>0</v>
      </c>
      <c r="AH13" s="938">
        <f t="shared" si="1"/>
        <v>2436</v>
      </c>
      <c r="AI13" s="938">
        <f t="shared" si="1"/>
        <v>0</v>
      </c>
      <c r="AJ13" s="938">
        <f t="shared" si="1"/>
        <v>0</v>
      </c>
      <c r="AK13" s="938">
        <f t="shared" si="1"/>
        <v>0</v>
      </c>
      <c r="AL13" s="938">
        <f t="shared" si="1"/>
        <v>128</v>
      </c>
      <c r="AM13" s="938">
        <f t="shared" si="1"/>
        <v>265</v>
      </c>
      <c r="AN13" s="938">
        <f t="shared" si="1"/>
        <v>0</v>
      </c>
      <c r="AO13" s="938">
        <f t="shared" si="1"/>
        <v>0</v>
      </c>
      <c r="AP13" s="943">
        <f>IF(ISNUMBER(((Datos!L13/Datos!K13)*11)/factor_trimestre),((Datos!L13/Datos!K13)*11)/factor_trimestre," - ")</f>
        <v>7.8381818181818188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-0.93333333333333335</v>
      </c>
      <c r="AU13" s="938" t="str">
        <f>IF(ISNUMBER((DatosP!#REF!-DatosP!#REF!+DatosP!#REF!)/(DatosP!#REF!+DatosP!#REF!-DatosP!#REF!-DatosP!#REF!)),(DatosP!#REF!-DatosP!#REF!+DatosP!#REF!)/(DatosP!#REF!+DatosP!#REF!-DatosP!#REF!-DatosP!#REF!)," - ")</f>
        <v xml:space="preserve"> - </v>
      </c>
      <c r="AV13" s="944">
        <f>SUBTOTAL(9,AV9:AV12)</f>
        <v>4.2808219178082189E-2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3.7398190045248869</v>
      </c>
      <c r="AQ18" s="943">
        <f>IF(ISNUMBER(((Datos!M18/Datos!L18)*11)/factor_trimestre),((Datos!M18/Datos!L18)*11)/factor_trimestre," - ")</f>
        <v>0.19328493647912889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8.8709677419354843E-2</v>
      </c>
      <c r="AW18" s="945">
        <f>IF(ISNUMBER((Datos!Q18-Datos!R18)/(Datos!S18-Datos!Q18+Datos!R18)),(Datos!Q18-Datos!R18)/(Datos!S18-Datos!Q18+Datos!R18)," - ")</f>
        <v>-0.1319290465631929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214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28</v>
      </c>
      <c r="AC19" s="956">
        <f t="shared" si="5"/>
        <v>0</v>
      </c>
      <c r="AD19" s="956">
        <f t="shared" si="5"/>
        <v>113</v>
      </c>
      <c r="AE19" s="956">
        <f t="shared" si="5"/>
        <v>0</v>
      </c>
      <c r="AF19" s="957">
        <f t="shared" si="5"/>
        <v>33</v>
      </c>
      <c r="AG19" s="957">
        <f t="shared" si="5"/>
        <v>0</v>
      </c>
      <c r="AH19" s="957">
        <f t="shared" si="5"/>
        <v>2436</v>
      </c>
      <c r="AI19" s="957">
        <f t="shared" si="5"/>
        <v>0</v>
      </c>
      <c r="AJ19" s="958">
        <f t="shared" si="5"/>
        <v>0</v>
      </c>
      <c r="AK19" s="958">
        <f t="shared" si="5"/>
        <v>0</v>
      </c>
      <c r="AL19" s="950">
        <f t="shared" si="5"/>
        <v>128</v>
      </c>
      <c r="AM19" s="950">
        <f t="shared" si="5"/>
        <v>265</v>
      </c>
      <c r="AN19" s="950">
        <f t="shared" si="5"/>
        <v>0</v>
      </c>
      <c r="AO19" s="950">
        <f t="shared" si="5"/>
        <v>0</v>
      </c>
      <c r="AP19" s="950">
        <f>IF(ISNUMBER(((Datos!L19/Datos!K19)*11)/factor_trimestre),((Datos!L19/Datos!K19)*11)/factor_trimestre," - ")</f>
        <v>5.3117154811715475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-0.93333333333333335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4.4219066937119675E-2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16.165807537309522</v>
      </c>
      <c r="AC21" s="737">
        <f>IF(ISNUMBER(STDEV(AC8:AC18)),STDEV(AC8:AC18),"-")</f>
        <v>0</v>
      </c>
      <c r="AD21" s="740"/>
      <c r="AE21" s="740"/>
      <c r="AF21" s="740"/>
      <c r="AG21" s="740"/>
      <c r="AH21" s="740"/>
      <c r="AI21" s="740"/>
      <c r="AJ21" s="741">
        <f>IF(ISNUMBER(STDEV(AJ8:AJ18)),STDEV(AJ8:AJ18),"-")</f>
        <v>0</v>
      </c>
      <c r="AK21" s="743"/>
      <c r="AL21" s="735">
        <f>IF(ISNUMBER(STDEV(AL8:AL18)),STDEV(AL8:AL18),"-")</f>
        <v>68.900895011119658</v>
      </c>
      <c r="AM21" s="735"/>
      <c r="AN21" s="735">
        <f>IF(ISNUMBER(STDEV(AN8:AN18)),STDEV(AN8:AN18),"-")</f>
        <v>0</v>
      </c>
      <c r="AO21" s="741">
        <f>IF(ISNUMBER(STDEV(AO8:AO18)),STDEV(AO8:AO18),"-")</f>
        <v>0</v>
      </c>
      <c r="AP21" s="778">
        <f>IF(ISNUMBER(STDEV(AP8:AP18)),STDEV(AP8:AP18),"-")</f>
        <v>2.2844504376684927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0aXFwWG/E6O+EaftibPnCFWwdAnMGTLOa39g4zeLN/s1KELj3TYGlBQcZMWT+j1D/2sR30fKNoQjFrZbgIeSg==" saltValue="o+DnDnGbamkewnnmI9p2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UBEDA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qgvWNfy0o0nBTeGDXqq+myDlpkLCndzTUZBY7x7o4HqxEOI4HAPrrXrjNwnPqN3HuryzJUIC/uSVn14KMbMMg==" saltValue="wJ+zmisiBIZJgQLdi7w0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UBEDA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5</v>
      </c>
      <c r="G10" s="403">
        <f>IF(ISNUMBER(F10/B10),F10/B10," - ")</f>
        <v>5</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119</v>
      </c>
      <c r="E12" s="403">
        <f t="shared" si="0"/>
        <v>39.666666666666664</v>
      </c>
      <c r="F12" s="402">
        <f>IF(ISNUMBER(Datos!N12),Datos!N12," - ")</f>
        <v>260</v>
      </c>
      <c r="G12" s="403">
        <f t="shared" si="1"/>
        <v>86.666666666666671</v>
      </c>
      <c r="H12" s="402">
        <f>IF(ISNUMBER(Datos!O12),Datos!O12," - ")</f>
        <v>352</v>
      </c>
      <c r="I12" s="403">
        <f t="shared" si="2"/>
        <v>117.33333333333333</v>
      </c>
      <c r="BZ12" s="1185">
        <f>Datos!EZ12</f>
        <v>0</v>
      </c>
    </row>
    <row r="13" spans="1:78" ht="14.25" thickTop="1" thickBot="1">
      <c r="A13" s="847" t="str">
        <f>Datos!A13</f>
        <v>TOTAL</v>
      </c>
      <c r="B13" s="848">
        <f>Datos!AP13</f>
        <v>3</v>
      </c>
      <c r="C13" s="850">
        <f>Datos!AR13</f>
        <v>3</v>
      </c>
      <c r="D13" s="848">
        <f>SUBTOTAL(9,D9:D12)</f>
        <v>128</v>
      </c>
      <c r="E13" s="849">
        <f t="shared" si="0"/>
        <v>42.666666666666664</v>
      </c>
      <c r="F13" s="848">
        <f>SUBTOTAL(9,F9:F12)</f>
        <v>265</v>
      </c>
      <c r="G13" s="849">
        <f t="shared" si="1"/>
        <v>88.333333333333329</v>
      </c>
      <c r="H13" s="848">
        <f>SUBTOTAL(9,H9:H12)</f>
        <v>368</v>
      </c>
      <c r="I13" s="849">
        <f>IF(ISNUMBER(H13/B13),H13/B13," - ")</f>
        <v>122.66666666666667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59</v>
      </c>
      <c r="E16" s="403">
        <f t="shared" si="3"/>
        <v>19.666666666666668</v>
      </c>
      <c r="F16" s="402">
        <f>IF(ISNUMBER(Datos!N16),Datos!N16," - ")</f>
        <v>551</v>
      </c>
      <c r="G16" s="403">
        <f t="shared" si="4"/>
        <v>183.66666666666666</v>
      </c>
      <c r="H16" s="402">
        <f>IF(ISNUMBER(Datos!O16),Datos!O16," - ")</f>
        <v>16</v>
      </c>
      <c r="I16" s="403">
        <f t="shared" si="5"/>
        <v>5.333333333333333</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51</v>
      </c>
      <c r="G17" s="403">
        <f>IF(ISNUMBER(F17/B17),F17/B17," - ")</f>
        <v>51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71</v>
      </c>
      <c r="E18" s="849">
        <f t="shared" si="3"/>
        <v>23.666666666666668</v>
      </c>
      <c r="F18" s="848">
        <f>SUBTOTAL(9,F15:F17)</f>
        <v>602</v>
      </c>
      <c r="G18" s="849">
        <f t="shared" si="4"/>
        <v>200.66666666666666</v>
      </c>
      <c r="H18" s="848">
        <f>SUBTOTAL(9,H15:H17)</f>
        <v>16</v>
      </c>
      <c r="I18" s="849">
        <f>IF(ISNUMBER(H18/B18),H18/B18," - ")</f>
        <v>5.333333333333333</v>
      </c>
      <c r="BZ18" s="1185"/>
    </row>
    <row r="19" spans="1:78" ht="14.25" thickTop="1" thickBot="1">
      <c r="A19" s="792" t="str">
        <f>Datos!A19</f>
        <v>TOTAL JURISDICCIONES</v>
      </c>
      <c r="B19" s="793">
        <f>Datos!AP19</f>
        <v>3</v>
      </c>
      <c r="C19" s="793">
        <f>Datos!AR19</f>
        <v>3</v>
      </c>
      <c r="D19" s="793">
        <f>SUBTOTAL(9,D8:D18)</f>
        <v>199</v>
      </c>
      <c r="E19" s="794">
        <f>IF(ISNUMBER(D19/B19),D19/B19," - ")</f>
        <v>66.333333333333329</v>
      </c>
      <c r="F19" s="793">
        <f>SUBTOTAL(9,F8:F18)</f>
        <v>867</v>
      </c>
      <c r="G19" s="794">
        <f>IF(ISNUMBER(F19/B19),F19/B19," - ")</f>
        <v>289</v>
      </c>
      <c r="H19" s="793">
        <f>SUBTOTAL(9,H8:H18)</f>
        <v>384</v>
      </c>
      <c r="I19" s="794">
        <f>IF(ISNUMBER(H19/B19),H19/B19," - ")</f>
        <v>128</v>
      </c>
    </row>
    <row r="22" spans="1:78">
      <c r="A22" s="390" t="str">
        <f>Criterios!A4</f>
        <v>Fecha Informe: 17 mar. 2026</v>
      </c>
    </row>
    <row r="27" spans="1:78">
      <c r="A27" s="413"/>
    </row>
  </sheetData>
  <sheetProtection algorithmName="SHA-512" hashValue="mHCcMYnHGx5XVAheuRRFGaX7aV7uItASYwJz4mWZnfAqsX6jxldaN1L564YWTAYNptXASTDoXgcZAoSiwM+b/A==" saltValue="AbGEjuChKV4EoMftRXMk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UBEDA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3</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213</v>
      </c>
      <c r="C12" s="433">
        <f>IF(ISNUMBER(Datos!Q12),Datos!Q12," - ")</f>
        <v>113</v>
      </c>
      <c r="D12" s="407">
        <f>IF(ISNUMBER(Datos!R12),Datos!R12," - ")</f>
        <v>2436</v>
      </c>
    </row>
    <row r="13" spans="1:4" ht="14.25" thickTop="1" thickBot="1">
      <c r="A13" s="847" t="str">
        <f>Datos!A13</f>
        <v>TOTAL</v>
      </c>
      <c r="B13" s="848">
        <f>SUBTOTAL(9,B9:B12)</f>
        <v>214</v>
      </c>
      <c r="C13" s="852">
        <f>SUBTOTAL(9,C9:C12)</f>
        <v>116</v>
      </c>
      <c r="D13" s="850">
        <f>SUBTOTAL(9,D9:D12)</f>
        <v>2439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16</v>
      </c>
      <c r="D16" s="407">
        <f>IF(ISNUMBER(Datos!R16),Datos!R16," - ")</f>
        <v>134</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27</v>
      </c>
      <c r="C18" s="852">
        <f>SUBTOTAL(9,C15:C17)</f>
        <v>16</v>
      </c>
      <c r="D18" s="850">
        <f>SUBTOTAL(9,D15:D17)</f>
        <v>135</v>
      </c>
    </row>
    <row r="19" spans="1:4" ht="16.5" customHeight="1" thickTop="1" thickBot="1">
      <c r="A19" s="792" t="str">
        <f>Datos!A19</f>
        <v>TOTAL JURISDICCIONES</v>
      </c>
      <c r="B19" s="797">
        <f>SUBTOTAL(9,B8:B18)</f>
        <v>241</v>
      </c>
      <c r="C19" s="798">
        <f>SUBTOTAL(9,C8:C18)</f>
        <v>132</v>
      </c>
      <c r="D19" s="799">
        <f>SUBTOTAL(9,D8:D18)</f>
        <v>2574</v>
      </c>
    </row>
    <row r="20" spans="1:4" ht="7.5" customHeight="1"/>
    <row r="21" spans="1:4" ht="6" customHeight="1"/>
    <row r="22" spans="1:4">
      <c r="A22" s="390" t="str">
        <f>Criterios!A4</f>
        <v>Fecha Informe: 17 mar. 2026</v>
      </c>
    </row>
    <row r="27" spans="1:4">
      <c r="A27" s="413"/>
    </row>
  </sheetData>
  <sheetProtection algorithmName="SHA-512" hashValue="GHgKsaZNDRXwM/nXg+4S4vTvnLZtXm35goJeAkXh6nySi7ynlHP6FKA+0nOrjnA3miOuntW6ob3kkurXo25aGw==" saltValue="EcBX041bTwBACY2bKFad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UBEDA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0.72222222222222221</v>
      </c>
      <c r="D10" s="455">
        <f>IF(ISNUMBER((Datos!K10-Datos!U10)/Datos!U10),(Datos!K10-Datos!U10)/Datos!U10," - ")</f>
        <v>0.75</v>
      </c>
      <c r="E10" s="455">
        <f>IF(ISNUMBER((Datos!L10-Datos!V10)/Datos!V10),(Datos!L10-Datos!V10)/Datos!V10," - ")</f>
        <v>3.125E-2</v>
      </c>
      <c r="F10" s="455">
        <f>IF(ISNUMBER((Datos!M10-Datos!W10)/Datos!W10),(Datos!M10-Datos!W10)/Datos!W10," - ")</f>
        <v>0.5</v>
      </c>
      <c r="G10" s="456">
        <f>IF(ISNUMBER((Datos!N10-Datos!X10)/Datos!X10),(Datos!N10-Datos!X10)/Datos!X10," - ")</f>
        <v>0.25</v>
      </c>
      <c r="H10" s="454">
        <f>IF(ISNUMBER(((NºAsuntos!G10/NºAsuntos!E10)-Datos!BD10)/Datos!BD10),((NºAsuntos!G10/NºAsuntos!E10)-Datos!BD10)/Datos!BD10," - ")</f>
        <v>1.6129032258064543E-2</v>
      </c>
      <c r="I10" s="455">
        <f>IF(ISNUMBER(((NºAsuntos!I10/NºAsuntos!G10)-Datos!BE10)/Datos!BE10),((NºAsuntos!I10/NºAsuntos!G10)-Datos!BE10)/Datos!BE10," - ")</f>
        <v>-0.4107142857142857</v>
      </c>
      <c r="J10" s="460">
        <f>IF(ISNUMBER((('Resol  Asuntos'!D10/NºAsuntos!G10)-Datos!BF10)/Datos!BF10),(('Resol  Asuntos'!D10/NºAsuntos!G10)-Datos!BF10)/Datos!BF10," - ")</f>
        <v>-0.14285714285714279</v>
      </c>
      <c r="K10" s="461">
        <f>IF(ISNUMBER((((NºAsuntos!C10+NºAsuntos!E10)/NºAsuntos!G10)-Datos!BG10)/Datos!BG10),(((NºAsuntos!C10+NºAsuntos!E10)/NºAsuntos!G10)-Datos!BG10)/Datos!BG10," - ")</f>
        <v>-0.27380952380952389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9.50354609929078E-2</v>
      </c>
      <c r="C12" s="455">
        <f>IF(ISNUMBER(
   IF(J_V="SI",(Datos!J12-Datos!T12)/Datos!T12,(Datos!J12+Datos!Z12-(Datos!T12+Datos!AH12))/(Datos!T12+Datos!AH12))
     ),IF(J_V="SI",(Datos!J12-Datos!T12)/Datos!T12,(Datos!J12+Datos!Z12-(Datos!T12+Datos!AH12))/(Datos!T12+Datos!AH12))," - ")</f>
        <v>-0.1875</v>
      </c>
      <c r="D12" s="455">
        <f>IF(ISNUMBER(
   IF(J_V="SI",(Datos!K12-Datos!U12)/Datos!U12,(Datos!K12+Datos!AA12-(Datos!U12+Datos!AI12))/(Datos!U12+Datos!AI12))
     ),IF(J_V="SI",(Datos!K12-Datos!U12)/Datos!U12,(Datos!K12+Datos!AA12-(Datos!U12+Datos!AI12))/(Datos!U12+Datos!AI12))," - ")</f>
        <v>-0.20599739243807041</v>
      </c>
      <c r="E12" s="455">
        <f>IF(ISNUMBER(
   IF(J_V="SI",(Datos!L12-Datos!V12)/Datos!V12,(Datos!L12+Datos!AB12-(Datos!V12+Datos!AJ12))/(Datos!V12+Datos!AJ12))
     ),IF(J_V="SI",(Datos!L12-Datos!V12)/Datos!V12,(Datos!L12+Datos!AB12-(Datos!V12+Datos!AJ12))/(Datos!V12+Datos!AJ12))," - ")</f>
        <v>7.2254335260115612E-2</v>
      </c>
      <c r="F12" s="455">
        <f>IF(ISNUMBER((Datos!M12-Datos!W12)/Datos!W12),(Datos!M12-Datos!W12)/Datos!W12," - ")</f>
        <v>-0.37037037037037035</v>
      </c>
      <c r="G12" s="456">
        <f>IF(ISNUMBER((Datos!N12-Datos!X12)/Datos!X12),(Datos!N12-Datos!X12)/Datos!X12," - ")</f>
        <v>-0.20245398773006135</v>
      </c>
      <c r="H12" s="454">
        <f>IF(ISNUMBER(((NºAsuntos!G12/NºAsuntos!E12)-Datos!BD12)/Datos!BD12),((NºAsuntos!G12/NºAsuntos!E12)-Datos!BD12)/Datos!BD12," - ")</f>
        <v>-2.2766021462240448E-2</v>
      </c>
      <c r="I12" s="455">
        <f>IF(ISNUMBER(((NºAsuntos!I12/NºAsuntos!G12)-Datos!BE12)/Datos!BE12),((NºAsuntos!I12/NºAsuntos!G12)-Datos!BE12)/Datos!BE12," - ")</f>
        <v>0.35044183110756771</v>
      </c>
      <c r="J12" s="460">
        <f>IF(ISNUMBER((('Resol  Asuntos'!D12/NºAsuntos!G12)-Datos!BF12)/Datos!BF12),(('Resol  Asuntos'!D12/NºAsuntos!G12)-Datos!BF12)/Datos!BF12," - ")</f>
        <v>-0.54026514350186872</v>
      </c>
      <c r="K12" s="461">
        <f>IF(ISNUMBER((((NºAsuntos!C12+NºAsuntos!E12)/NºAsuntos!G12)-Datos!BG12)/Datos!BG12),(((NºAsuntos!C12+NºAsuntos!E12)/NºAsuntos!G12)-Datos!BG12)/Datos!BG12," - ")</f>
        <v>0.25709419288491819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9.3055555555555558E-2</v>
      </c>
      <c r="C13" s="854">
        <f>IF(ISNUMBER(
   IF(J_V="SI",(Datos!J13-Datos!T13)/Datos!T13,(Datos!J13+Datos!Z13-(Datos!T13+Datos!AH13))/(Datos!T13+Datos!AH13))
     ),IF(J_V="SI",(Datos!J13-Datos!T13)/Datos!T13,(Datos!J13+Datos!Z13-(Datos!T13+Datos!AH13))/(Datos!T13+Datos!AH13))," - ")</f>
        <v>-0.16578249336870027</v>
      </c>
      <c r="D13" s="854">
        <f>IF(ISNUMBER(
   IF(J_V="SI",(Datos!K13-Datos!U13)/Datos!U13,(Datos!K13+Datos!AA13-(Datos!U13+Datos!AI13))/(Datos!U13+Datos!AI13))
     ),IF(J_V="SI",(Datos!K13-Datos!U13)/Datos!U13,(Datos!K13+Datos!AA13-(Datos!U13+Datos!AI13))/(Datos!U13+Datos!AI13))," - ")</f>
        <v>-0.18646232439335889</v>
      </c>
      <c r="E13" s="854">
        <f>IF(ISNUMBER(
   IF(J_V="SI",(Datos!L13-Datos!V13)/Datos!V13,(Datos!L13+Datos!AB13-(Datos!V13+Datos!AJ13))/(Datos!V13+Datos!AJ13))
     ),IF(J_V="SI",(Datos!L13-Datos!V13)/Datos!V13,(Datos!L13+Datos!AB13-(Datos!V13+Datos!AJ13))/(Datos!V13+Datos!AJ13))," - ")</f>
        <v>7.1327683615819204E-2</v>
      </c>
      <c r="F13" s="855">
        <f>IF(ISNUMBER((Datos!M13-Datos!W13)/Datos!W13),(Datos!M13-Datos!W13)/Datos!W13," - ")</f>
        <v>-0.34358974358974359</v>
      </c>
      <c r="G13" s="856">
        <f>IF(ISNUMBER((Datos!N13-Datos!X13)/Datos!X13),(Datos!N13-Datos!X13)/Datos!X13," - ")</f>
        <v>-0.19696969696969696</v>
      </c>
      <c r="H13" s="856">
        <f>IF(ISNUMBER(((NºAsuntos!G13/NºAsuntos!E13)-Datos!BD13)/Datos!BD13),((NºAsuntos!G13/NºAsuntos!E13)-Datos!BD13)/Datos!BD13," - ")</f>
        <v>-2.4789495377730727E-2</v>
      </c>
      <c r="I13" s="856">
        <f>IF(ISNUMBER(((NºAsuntos!I13/NºAsuntos!G13)-Datos!BE13)/Datos!BE13),((NºAsuntos!I13/NºAsuntos!G13)-Datos!BE13)/Datos!BE13," - ")</f>
        <v>0.31687531596732577</v>
      </c>
      <c r="J13" s="856">
        <f>IF(ISNUMBER((('Resol  Asuntos'!D13/NºAsuntos!G13)-Datos!BF13)/Datos!BF13),(('Resol  Asuntos'!D13/NºAsuntos!G13)-Datos!BF13)/Datos!BF13," - ")</f>
        <v>-0.52609180836375324</v>
      </c>
      <c r="K13" s="856">
        <f>IF(ISNUMBER((((NºAsuntos!C13+NºAsuntos!E13)/NºAsuntos!G13)-Datos!BG13)/Datos!BG13),(((NºAsuntos!C13+NºAsuntos!E13)/NºAsuntos!G13)-Datos!BG13)/Datos!BG13," - ")</f>
        <v>0.23424166665474133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0.26790830945558741</v>
      </c>
      <c r="C16" s="455">
        <f>IF(ISNUMBER(
   IF(D_I="SI",(Datos!J16-Datos!T16)/Datos!T16,(Datos!J16+Datos!AD16-(Datos!T16+Datos!AL16))/(Datos!T16+Datos!AL16))
     ),IF(D_I="SI",(Datos!J16-Datos!T16)/Datos!T16,(Datos!J16+Datos!AD16-(Datos!T16+Datos!AL16))/(Datos!T16+Datos!AL16))," - ")</f>
        <v>-1.3262599469496022E-2</v>
      </c>
      <c r="D16" s="455">
        <f>IF(ISNUMBER(
   IF(D_I="SI",(Datos!K16-Datos!U16)/Datos!U16,(Datos!K16+Datos!AE16-(Datos!U16+Datos!AM16))/(Datos!U16+Datos!AM16))
     ),IF(D_I="SI",(Datos!K16-Datos!U16)/Datos!U16,(Datos!K16+Datos!AE16-(Datos!U16+Datos!AM16))/(Datos!U16+Datos!AM16))," - ")</f>
        <v>9.0659340659340656E-2</v>
      </c>
      <c r="E16" s="455">
        <f>IF(ISNUMBER(
   IF(D_I="SI",(Datos!L16-Datos!V16)/Datos!V16,(Datos!L16+Datos!AF16-(Datos!V16+Datos!AN16))/(Datos!V16+Datos!AN16))
     ),IF(D_I="SI",(Datos!L16-Datos!V16)/Datos!V16,(Datos!L16+Datos!AF16-(Datos!V16+Datos!AN16))/(Datos!V16+Datos!AN16))," - ")</f>
        <v>0.3168724279835391</v>
      </c>
      <c r="F16" s="455">
        <f>IF(ISNUMBER((Datos!M16-Datos!W16)/Datos!W16),(Datos!M16-Datos!W16)/Datos!W16," - ")</f>
        <v>-0.36559139784946237</v>
      </c>
      <c r="G16" s="456">
        <f>IF(ISNUMBER((Datos!N16-Datos!X16)/Datos!X16),(Datos!N16-Datos!X16)/Datos!X16," - ")</f>
        <v>9.3253968253968256E-2</v>
      </c>
      <c r="H16" s="454">
        <f>IF(ISNUMBER(((NºAsuntos!G16/NºAsuntos!E16)-Datos!BD16)/Datos!BD16),((NºAsuntos!G16/NºAsuntos!E16)-Datos!BD16)/Datos!BD16," - ")</f>
        <v>0.10531874039938545</v>
      </c>
      <c r="I16" s="455">
        <f>IF(ISNUMBER(((NºAsuntos!I16/NºAsuntos!G16)-Datos!BE16)/Datos!BE16),((NºAsuntos!I16/NºAsuntos!G16)-Datos!BE16)/Datos!BE16," - ")</f>
        <v>0.20740948056929037</v>
      </c>
      <c r="J16" s="460">
        <f>IF(ISNUMBER((('Resol  Asuntos'!D16/NºAsuntos!G16)-Datos!BF16)/Datos!BF16),(('Resol  Asuntos'!D16/NºAsuntos!G16)-Datos!BF16)/Datos!BF16," - ")</f>
        <v>-0.41832561414912922</v>
      </c>
      <c r="K16" s="461">
        <f>IF(ISNUMBER((((NºAsuntos!C16+NºAsuntos!E16)/NºAsuntos!G16)-Datos!BG16)/Datos!BG16),(((NºAsuntos!C16+NºAsuntos!E16)/NºAsuntos!G16)-Datos!BG16)/Datos!BG16," - ")</f>
        <v>2.8644586464600282E-2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0.30588235294117649</v>
      </c>
      <c r="C17" s="455">
        <f>IF(ISNUMBER(
   IF(D_I="SI",(Datos!J17-Datos!T17)/Datos!T17,(Datos!J17+Datos!AD17-(Datos!T17+Datos!AL17))/(Datos!T17+Datos!AL17))
     ),IF(D_I="SI",(Datos!J17-Datos!T17)/Datos!T17,(Datos!J17+Datos!AD17-(Datos!T17+Datos!AL17))/(Datos!T17+Datos!AL17))," - ")</f>
        <v>0.3595505617977528</v>
      </c>
      <c r="D17" s="455">
        <f>IF(ISNUMBER(
   IF(D_I="SI",(Datos!K17-Datos!U17)/Datos!U17,(Datos!K17+Datos!AE17-(Datos!U17+Datos!AM17))/(Datos!U17+Datos!AM17))
     ),IF(D_I="SI",(Datos!K17-Datos!U17)/Datos!U17,(Datos!K17+Datos!AE17-(Datos!U17+Datos!AM17))/(Datos!U17+Datos!AM17))," - ")</f>
        <v>0.125</v>
      </c>
      <c r="E17" s="455">
        <f>IF(ISNUMBER(
   IF(D_I="SI",(Datos!L17-Datos!V17)/Datos!V17,(Datos!L17+Datos!AF17-(Datos!V17+Datos!AN17))/(Datos!V17+Datos!AN17))
     ),IF(D_I="SI",(Datos!L17-Datos!V17)/Datos!V17,(Datos!L17+Datos!AF17-(Datos!V17+Datos!AN17))/(Datos!V17+Datos!AN17))," - ")</f>
        <v>0.47916666666666669</v>
      </c>
      <c r="F17" s="455">
        <f>IF(ISNUMBER((Datos!M17-Datos!W17)/Datos!W17),(Datos!M17-Datos!W17)/Datos!W17," - ")</f>
        <v>0.2</v>
      </c>
      <c r="G17" s="456">
        <f>IF(ISNUMBER((Datos!N17-Datos!X17)/Datos!X17),(Datos!N17-Datos!X17)/Datos!X17," - ")</f>
        <v>-5.5555555555555552E-2</v>
      </c>
      <c r="H17" s="454">
        <f>IF(ISNUMBER(((NºAsuntos!G17/NºAsuntos!E17)-Datos!BD17)/Datos!BD17),((NºAsuntos!G17/NºAsuntos!E17)-Datos!BD17)/Datos!BD17," - ")</f>
        <v>-0.1725206611570248</v>
      </c>
      <c r="I17" s="455">
        <f>IF(ISNUMBER(((NºAsuntos!I17/NºAsuntos!G17)-Datos!BE17)/Datos!BE17),((NºAsuntos!I17/NºAsuntos!G17)-Datos!BE17)/Datos!BE17," - ")</f>
        <v>0.31481481481481483</v>
      </c>
      <c r="J17" s="460">
        <f>IF(ISNUMBER((('Resol  Asuntos'!D17/NºAsuntos!G17)-Datos!BF17)/Datos!BF17),(('Resol  Asuntos'!D17/NºAsuntos!G17)-Datos!BF17)/Datos!BF17," - ")</f>
        <v>6.6666666666666652E-2</v>
      </c>
      <c r="K17" s="461">
        <f>IF(ISNUMBER((((NºAsuntos!C17+NºAsuntos!E17)/NºAsuntos!G17)-Datos!BG17)/Datos!BG17),(((NºAsuntos!C17+NºAsuntos!E17)/NºAsuntos!G17)-Datos!BG17)/Datos!BG17," - ")</f>
        <v>0.18518518518518537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0.27203065134099619</v>
      </c>
      <c r="C18" s="854">
        <f>IF(ISNUMBER(
   IF(Criterios!B14="SI",(Datos!J18-Datos!T18)/Datos!T18,(Datos!J18+Datos!AD18-(Datos!T18+Datos!AL18))/(Datos!T18+Datos!AL18))
     ),IF(Criterios!B14="SI",(Datos!J18-Datos!T18)/Datos!T18,(Datos!J18+Datos!AD18-(Datos!T18+Datos!AL18))/(Datos!T18+Datos!AL18))," - ")</f>
        <v>2.6097271648873072E-2</v>
      </c>
      <c r="D18" s="854">
        <f>IF(ISNUMBER(
   IF(Criterios!B14="SI",(Datos!K18-Datos!U18)/Datos!U18,(Datos!K18+Datos!AE18-(Datos!U18+Datos!AM18))/(Datos!U18+Datos!AM18))
     ),IF(Criterios!B14="SI",(Datos!K18-Datos!U18)/Datos!U18,(Datos!K18+Datos!AE18-(Datos!U18+Datos!AM18))/(Datos!U18+Datos!AM18))," - ")</f>
        <v>9.405940594059406E-2</v>
      </c>
      <c r="E18" s="854">
        <f>IF(ISNUMBER(
   IF(Criterios!B14="SI",(Datos!L18-Datos!V18)/Datos!V18,(Datos!L18+Datos!AF18-(Datos!V18+Datos!AN18))/(Datos!V18+Datos!AN18))
     ),IF(Criterios!B14="SI",(Datos!L18-Datos!V18)/Datos!V18,(Datos!L18+Datos!AF18-(Datos!V18+Datos!AN18))/(Datos!V18+Datos!AN18))," - ")</f>
        <v>0.33575757575757575</v>
      </c>
      <c r="F18" s="855">
        <f>IF(ISNUMBER((Datos!M18-Datos!W18)/Datos!W18),(Datos!M18-Datos!W18)/Datos!W18," - ")</f>
        <v>-0.31067961165048541</v>
      </c>
      <c r="G18" s="856">
        <f>IF(ISNUMBER((Datos!N18-Datos!X18)/Datos!X18),(Datos!N18-Datos!X18)/Datos!X18," - ")</f>
        <v>7.8853046594982074E-2</v>
      </c>
      <c r="H18" s="856">
        <f>IF(ISNUMBER(((NºAsuntos!G18/NºAsuntos!E18)-Datos!BD18)/Datos!BD18),((NºAsuntos!G18/NºAsuntos!E18)-Datos!BD18)/Datos!BD18," - ")</f>
        <v>6.6233617581411219E-2</v>
      </c>
      <c r="I18" s="856">
        <f>IF(ISNUMBER(((NºAsuntos!I18/NºAsuntos!G18)-Datos!BE18)/Datos!BE18),((NºAsuntos!I18/NºAsuntos!G18)-Datos!BE18)/Datos!BE18," - ")</f>
        <v>0.22091868915398338</v>
      </c>
      <c r="J18" s="856">
        <f>IF(ISNUMBER((('Resol  Asuntos'!D18/NºAsuntos!G18)-Datos!BF18)/Datos!BF18),(('Resol  Asuntos'!D18/NºAsuntos!G18)-Datos!BF18)/Datos!BF18," - ")</f>
        <v>-0.3699424504678645</v>
      </c>
      <c r="K18" s="856">
        <f>IF(ISNUMBER((((NºAsuntos!C18+NºAsuntos!E18)/NºAsuntos!G18)-Datos!BG18)/Datos!BG18),(((NºAsuntos!C18+NºAsuntos!E18)/NºAsuntos!G18)-Datos!BG18)/Datos!BG18," - ")</f>
        <v>4.612824408787089E-2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0.15609536662168241</v>
      </c>
      <c r="C19" s="801">
        <f>IF(ISNUMBER(
   IF(J_V="SI",(Datos!J19-Datos!T19)/Datos!T19,(Datos!J19+Datos!Z19-(Datos!T19+Datos!AH19))/(Datos!T19+Datos!AH19))
     ),IF(J_V="SI",(Datos!J19-Datos!T19)/Datos!T19,(Datos!J19+Datos!Z19-(Datos!T19+Datos!AH19))/(Datos!T19+Datos!AH19))," - ")</f>
        <v>-6.4495929868503443E-2</v>
      </c>
      <c r="D19" s="801">
        <f>IF(ISNUMBER(
   IF(J_V="SI",(Datos!K19-Datos!U19)/Datos!U19,(Datos!K19+Datos!AA19-(Datos!U19+Datos!AI19))/(Datos!U19+Datos!AI19))
     ),IF(J_V="SI",(Datos!K19-Datos!U19)/Datos!U19,(Datos!K19+Datos!AA19-(Datos!U19+Datos!AI19))/(Datos!U19+Datos!AI19))," - ")</f>
        <v>-4.3997485857950977E-2</v>
      </c>
      <c r="E19" s="801">
        <f>IF(ISNUMBER(
   IF(J_V="SI",(Datos!L19-Datos!V19)/Datos!V19,(Datos!L19+Datos!AB19-(Datos!V19+Datos!AJ19))/(Datos!V19+Datos!AJ19))
     ),IF(J_V="SI",(Datos!L19-Datos!V19)/Datos!V19,(Datos!L19+Datos!AB19-(Datos!V19+Datos!AJ19))/(Datos!V19+Datos!AJ19))," - ")</f>
        <v>0.16867469879518071</v>
      </c>
      <c r="F19" s="802">
        <f>IF(ISNUMBER((Datos!M19-Datos!W19)/Datos!W19),(Datos!M19-Datos!W19)/Datos!W19," - ")</f>
        <v>-0.33221476510067116</v>
      </c>
      <c r="G19" s="803">
        <f>IF(ISNUMBER((Datos!N19-Datos!X19)/Datos!X19),(Datos!N19-Datos!X19)/Datos!X19," - ")</f>
        <v>-2.364864864864865E-2</v>
      </c>
      <c r="H19" s="804">
        <f>IF(ISNUMBER((Tasas!B19-Datos!BD19)/Datos!BD19),(Tasas!B19-Datos!BD19)/Datos!BD19," - ")</f>
        <v>2.1911656683301431E-2</v>
      </c>
      <c r="I19" s="805">
        <f>IF(ISNUMBER((Tasas!C19-Datos!BE19)/Datos!BE19),(Tasas!C19-Datos!BE19)/Datos!BE19," - ")</f>
        <v>0.22245985916050781</v>
      </c>
      <c r="J19" s="806">
        <f>IF(ISNUMBER((Tasas!D19-Datos!BF19)/Datos!BF19),(Tasas!D19-Datos!BF19)/Datos!BF19," - ")</f>
        <v>-0.52147483128915484</v>
      </c>
      <c r="K19" s="806">
        <f>IF(ISNUMBER((Tasas!E19-Datos!BG19)/Datos!BG19),(Tasas!E19-Datos!BG19)/Datos!BG19," - ")</f>
        <v>0.11283634698858226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kUYqVCGYujvOOA+dkNArnpUIdEWFmGHN1S04CuzLbibYqBzqeXqfkYvrEfmb7+BjayMMGTofZpph24V8zsQ2w==" saltValue="5fY54W0OsggvmFnWMDlA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UBEDA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0.90322580645161288</v>
      </c>
      <c r="C10" s="442">
        <f>IF(ISNUMBER(NºAsuntos!I10/NºAsuntos!G10),NºAsuntos!I10/NºAsuntos!G10," - ")</f>
        <v>1.1785714285714286</v>
      </c>
      <c r="D10" s="443">
        <f>IF(ISNUMBER('Resol  Asuntos'!D10/NºAsuntos!G10),'Resol  Asuntos'!D10/NºAsuntos!G10," - ")</f>
        <v>0.32142857142857145</v>
      </c>
      <c r="E10" s="444">
        <f>IF(ISNUMBER((NºAsuntos!C10+NºAsuntos!E10)/NºAsuntos!G10),(NºAsuntos!C10+NºAsuntos!E10)/NºAsuntos!G10," - ")</f>
        <v>2.1785714285714284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1.0183946488294315</v>
      </c>
      <c r="C12" s="442">
        <f>IF(ISNUMBER(NºAsuntos!I12/NºAsuntos!G12),NºAsuntos!I12/NºAsuntos!G12," - ")</f>
        <v>2.4367816091954024</v>
      </c>
      <c r="D12" s="443">
        <f>IF(ISNUMBER('Resol  Asuntos'!D12/NºAsuntos!G12),'Resol  Asuntos'!D12/NºAsuntos!G12," - ")</f>
        <v>0.19540229885057472</v>
      </c>
      <c r="E12" s="444">
        <f>IF(ISNUMBER((NºAsuntos!C12+NºAsuntos!E12)/NºAsuntos!G12),(NºAsuntos!C12+NºAsuntos!E12)/NºAsuntos!G12," - ")</f>
        <v>3.5172413793103448</v>
      </c>
      <c r="G12" s="462"/>
    </row>
    <row r="13" spans="1:7" ht="14.25" thickTop="1" thickBot="1">
      <c r="A13" s="847" t="str">
        <f>Datos!A13</f>
        <v>TOTAL</v>
      </c>
      <c r="B13" s="857">
        <f>IF(ISNUMBER(NºAsuntos!G13/NºAsuntos!E13),NºAsuntos!G13/NºAsuntos!E13," - ")</f>
        <v>1.0127186009538951</v>
      </c>
      <c r="C13" s="858">
        <f>IF(ISNUMBER(NºAsuntos!I13/NºAsuntos!G13),NºAsuntos!I13/NºAsuntos!G13," - ")</f>
        <v>2.3814756671899531</v>
      </c>
      <c r="D13" s="859">
        <f>IF(ISNUMBER('Resol  Asuntos'!D13/NºAsuntos!G13),'Resol  Asuntos'!D13/NºAsuntos!G13," - ")</f>
        <v>0.20094191522762953</v>
      </c>
      <c r="E13" s="860">
        <f>IF(ISNUMBER((NºAsuntos!C13+NºAsuntos!E13)/NºAsuntos!G13),(NºAsuntos!C13+NºAsuntos!E13)/NºAsuntos!G13," - ")</f>
        <v>3.4583987441130297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1.0672043010752688</v>
      </c>
      <c r="C16" s="442">
        <f>IF(ISNUMBER(NºAsuntos!I16/NºAsuntos!G16),NºAsuntos!I16/NºAsuntos!G16," - ")</f>
        <v>1.2090680100755669</v>
      </c>
      <c r="D16" s="443">
        <f>IF(ISNUMBER('Resol  Asuntos'!D16/NºAsuntos!G16),'Resol  Asuntos'!D16/NºAsuntos!G16," - ")</f>
        <v>7.4307304785894202E-2</v>
      </c>
      <c r="E16" s="444">
        <f>IF(ISNUMBER((NºAsuntos!C16+NºAsuntos!E16)/NºAsuntos!G16),(NºAsuntos!C16+NºAsuntos!E16)/NºAsuntos!G16," - ")</f>
        <v>2.0516372795969775</v>
      </c>
      <c r="G16" s="462"/>
    </row>
    <row r="17" spans="1:7" ht="21.75" thickBot="1">
      <c r="A17" s="401" t="str">
        <f>Datos!A17</f>
        <v>Jdos. Violencia contra la mujer/Secc Viol. TI.</v>
      </c>
      <c r="B17" s="441">
        <f>IF(ISNUMBER(NºAsuntos!G17/NºAsuntos!E17),NºAsuntos!G17/NºAsuntos!E17," - ")</f>
        <v>0.74380165289256195</v>
      </c>
      <c r="C17" s="442">
        <f>IF(ISNUMBER(NºAsuntos!I17/NºAsuntos!G17),NºAsuntos!I17/NºAsuntos!G17," - ")</f>
        <v>1.5777777777777777</v>
      </c>
      <c r="D17" s="443">
        <f>IF(ISNUMBER('Resol  Asuntos'!D17/NºAsuntos!G17),'Resol  Asuntos'!D17/NºAsuntos!G17," - ")</f>
        <v>0.13333333333333333</v>
      </c>
      <c r="E17" s="444">
        <f>IF(ISNUMBER((NºAsuntos!C17+NºAsuntos!E17)/NºAsuntos!G17),(NºAsuntos!C17+NºAsuntos!E17)/NºAsuntos!G17," - ")</f>
        <v>2.5777777777777779</v>
      </c>
      <c r="G17" s="462"/>
    </row>
    <row r="18" spans="1:7" ht="14.25" thickTop="1" thickBot="1">
      <c r="A18" s="847" t="str">
        <f>Datos!A18</f>
        <v>TOTAL</v>
      </c>
      <c r="B18" s="857">
        <f>IF(ISNUMBER(NºAsuntos!G18/NºAsuntos!E18),NºAsuntos!G18/NºAsuntos!E18," - ")</f>
        <v>1.0219653179190751</v>
      </c>
      <c r="C18" s="858">
        <f>IF(ISNUMBER(NºAsuntos!I18/NºAsuntos!G18),NºAsuntos!I18/NºAsuntos!G18," - ")</f>
        <v>1.246606334841629</v>
      </c>
      <c r="D18" s="861">
        <f>IF(ISNUMBER('Resol  Asuntos'!D18/NºAsuntos!G18),'Resol  Asuntos'!D18/NºAsuntos!G18," - ")</f>
        <v>8.031674208144797E-2</v>
      </c>
      <c r="E18" s="860">
        <f>IF(ISNUMBER((NºAsuntos!C18+NºAsuntos!E18)/NºAsuntos!G18),(NºAsuntos!C18+NºAsuntos!E18)/NºAsuntos!G18," - ")</f>
        <v>2.1052036199095023</v>
      </c>
      <c r="G18" s="462"/>
    </row>
    <row r="19" spans="1:7" ht="15.75" customHeight="1" thickTop="1" thickBot="1">
      <c r="A19" s="792" t="str">
        <f>Datos!A19</f>
        <v>TOTAL JURISDICCIONES</v>
      </c>
      <c r="B19" s="807">
        <f>IF(ISNUMBER(NºAsuntos!G19/NºAsuntos!E19),NºAsuntos!G19/NºAsuntos!E19," - ")</f>
        <v>1.0180722891566265</v>
      </c>
      <c r="C19" s="808">
        <f>IF(ISNUMBER(NºAsuntos!I19/NºAsuntos!G19),NºAsuntos!I19/NºAsuntos!G19," - ")</f>
        <v>1.7218934911242603</v>
      </c>
      <c r="D19" s="809">
        <f>IF(ISNUMBER('Resol  Asuntos'!D19/NºAsuntos!G19),'Resol  Asuntos'!D19/NºAsuntos!G19," - ")</f>
        <v>0.13083497698882315</v>
      </c>
      <c r="E19" s="810">
        <f>IF(ISNUMBER((NºAsuntos!C19+NºAsuntos!E19)/NºAsuntos!G19),(NºAsuntos!C19+NºAsuntos!E19)/NºAsuntos!G19," - ")</f>
        <v>2.6719263642340567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PLOjHRdq7YGmaggRov+pfM1i+2Yz1fMLVTawDUPQeJtPVOxQ2NmUOh207inzMl5IVu3UVUI915gVlr/zlJKZQ==" saltValue="oD0I81X/FtD33026OtAZ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UBEDA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28</v>
      </c>
      <c r="X10" s="225">
        <f>IF(ISNUMBER(Datos!Q10),Datos!Q10," - ")</f>
        <v>3</v>
      </c>
      <c r="Y10" s="333">
        <f t="shared" ref="Y10:Y12" si="0">SUM(W10:X10)</f>
        <v>31</v>
      </c>
      <c r="Z10" s="334" t="str">
        <f>IF(ISNUMBER(Datos!CC10),Datos!CC10," - ")</f>
        <v xml:space="preserve"> - </v>
      </c>
      <c r="AA10" s="331">
        <f>IF(ISNUMBER(Datos!L10),Datos!L10,"-")</f>
        <v>33</v>
      </c>
      <c r="AB10" s="333">
        <f>IF(ISNUMBER(Datos!R10),Datos!R10," - ")</f>
        <v>3</v>
      </c>
      <c r="AC10" s="333">
        <f t="shared" ref="AC10:AC12" si="1">IF(ISNUMBER(AA10+AB10),AA10+AB10," - ")</f>
        <v>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0.90322580645161288</v>
      </c>
      <c r="AM10" s="259">
        <f>IF(ISNUMBER(((NºAsuntos!I10/NºAsuntos!G10)*11)/factor_trimestre),((NºAsuntos!I10/NºAsuntos!G10)*11)/factor_trimestre," - ")</f>
        <v>3.535714285714286</v>
      </c>
      <c r="AN10" s="243">
        <f>IF(ISNUMBER('Resol  Asuntos'!D10/NºAsuntos!G10),'Resol  Asuntos'!D10/NºAsuntos!G10," - ")</f>
        <v>0.32142857142857145</v>
      </c>
      <c r="AO10" s="244">
        <f>IF(ISNUMBER((NºAsuntos!C10+NºAsuntos!E10)/NºAsuntos!G10),(NºAsuntos!C10+NºAsuntos!E10)/NºAsuntos!G10," - ")</f>
        <v>2.1785714285714284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119</v>
      </c>
      <c r="AJ12" s="228" t="str">
        <f>IF(ISNUMBER(Datos!BW12),Datos!BW12," - ")</f>
        <v xml:space="preserve"> - </v>
      </c>
      <c r="AK12" s="227" t="str">
        <f>IF(ISNUMBER(Datos!BX12),Datos!BX12," - ")</f>
        <v xml:space="preserve"> - </v>
      </c>
      <c r="AL12" s="242">
        <f>IF(ISNUMBER(NºAsuntos!G12/NºAsuntos!E12),NºAsuntos!G12/NºAsuntos!E12," - ")</f>
        <v>1.0183946488294315</v>
      </c>
      <c r="AM12" s="259">
        <f>IF(ISNUMBER(((NºAsuntos!I12/NºAsuntos!G12)*11)/factor_trimestre),((NºAsuntos!I12/NºAsuntos!G12)*11)/factor_trimestre," - ")</f>
        <v>7.3103448275862073</v>
      </c>
      <c r="AN12" s="243">
        <f>IF(ISNUMBER('Resol  Asuntos'!D12/NºAsuntos!G12),'Resol  Asuntos'!D12/NºAsuntos!G12," - ")</f>
        <v>0.19540229885057472</v>
      </c>
      <c r="AO12" s="244">
        <f>IF(ISNUMBER((NºAsuntos!C12+NºAsuntos!E12)/NºAsuntos!G12),(NºAsuntos!C12+NºAsuntos!E12)/NºAsuntos!G12," - ")</f>
        <v>3.5172413793103448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30</v>
      </c>
      <c r="G13" s="865">
        <f t="shared" si="3"/>
        <v>30</v>
      </c>
      <c r="H13" s="864">
        <f t="shared" si="3"/>
        <v>0</v>
      </c>
      <c r="I13" s="866">
        <f t="shared" si="3"/>
        <v>0</v>
      </c>
      <c r="J13" s="866">
        <f t="shared" si="3"/>
        <v>0</v>
      </c>
      <c r="K13" s="866">
        <f t="shared" si="3"/>
        <v>0</v>
      </c>
      <c r="L13" s="866">
        <f t="shared" si="3"/>
        <v>214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28</v>
      </c>
      <c r="X13" s="866">
        <f t="shared" si="4"/>
        <v>116</v>
      </c>
      <c r="Y13" s="867">
        <f t="shared" si="4"/>
        <v>144</v>
      </c>
      <c r="Z13" s="867">
        <f t="shared" si="4"/>
        <v>0</v>
      </c>
      <c r="AA13" s="867">
        <f t="shared" si="4"/>
        <v>33</v>
      </c>
      <c r="AB13" s="867">
        <f t="shared" si="4"/>
        <v>2439</v>
      </c>
      <c r="AC13" s="867">
        <f t="shared" si="4"/>
        <v>36</v>
      </c>
      <c r="AD13" s="867">
        <f t="shared" si="4"/>
        <v>0</v>
      </c>
      <c r="AE13" s="871">
        <f t="shared" si="4"/>
        <v>0</v>
      </c>
      <c r="AF13" s="864">
        <f t="shared" si="4"/>
        <v>0</v>
      </c>
      <c r="AG13" s="872">
        <f t="shared" si="4"/>
        <v>0</v>
      </c>
      <c r="AH13" s="869">
        <f t="shared" si="4"/>
        <v>0</v>
      </c>
      <c r="AI13" s="864">
        <f t="shared" si="4"/>
        <v>128</v>
      </c>
      <c r="AJ13" s="866">
        <f t="shared" si="4"/>
        <v>0</v>
      </c>
      <c r="AK13" s="869">
        <f>SUBTOTAL(9,AK9:AK12)</f>
        <v>0</v>
      </c>
      <c r="AL13" s="873">
        <f>IF(ISNUMBER(NºAsuntos!G13/NºAsuntos!E13),NºAsuntos!G13/NºAsuntos!E13," - ")</f>
        <v>1.0127186009538951</v>
      </c>
      <c r="AM13" s="873">
        <f>IF(ISNUMBER(((NºAsuntos!I13/NºAsuntos!G13)*11)/factor_trimestre),((NºAsuntos!I13/NºAsuntos!G13)*11)/factor_trimestre," - ")</f>
        <v>7.1444270015698592</v>
      </c>
      <c r="AN13" s="874">
        <f>IF(ISNUMBER('Resol  Asuntos'!D13/NºAsuntos!G13),'Resol  Asuntos'!D13/NºAsuntos!G13," - ")</f>
        <v>0.20094191522762953</v>
      </c>
      <c r="AO13" s="875">
        <f>IF(ISNUMBER((NºAsuntos!C13+NºAsuntos!E13)/NºAsuntos!G13),(NºAsuntos!C13+NºAsuntos!E13)/NºAsuntos!G13," - ")</f>
        <v>3.4583987441130297</v>
      </c>
      <c r="AP13" s="876" t="str">
        <f t="shared" si="2"/>
        <v xml:space="preserve"> - </v>
      </c>
      <c r="AQ13" s="876">
        <f>IF(ISNUMBER((H13-W13+K13)/(F13)),(H13-W13+K13)/(F13)," - ")</f>
        <v>-0.93333333333333335</v>
      </c>
      <c r="AR13" s="877">
        <f>IF(ISNUMBER((Datos!P13-Datos!Q13)/(Datos!R13-Datos!P13+Datos!Q13)),(Datos!P13-Datos!Q13)/(Datos!R13-Datos!P13+Datos!Q13)," - ")</f>
        <v>4.1862451943613842E-2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1010</v>
      </c>
      <c r="G16" s="332">
        <f>IF(ISNUMBER(IF(D_I="SI",Datos!I16,Datos!I16+Datos!AC16)),IF(D_I="SI",Datos!I16,Datos!I16+Datos!AC16)," - ")</f>
        <v>885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794</v>
      </c>
      <c r="X16" s="225">
        <f>IF(ISNUMBER(Datos!Q16),Datos!Q16," - ")</f>
        <v>16</v>
      </c>
      <c r="Y16" s="333">
        <f t="shared" ref="Y16:Y17" si="7">SUM(W16:X16)</f>
        <v>810</v>
      </c>
      <c r="Z16" s="334" t="str">
        <f>IF(ISNUMBER(Datos!CC16),Datos!CC16," - ")</f>
        <v xml:space="preserve"> - </v>
      </c>
      <c r="AA16" s="331">
        <f>IF(ISNUMBER(IF(D_I="SI",Datos!L16,Datos!L16+Datos!AF16)),IF(D_I="SI",Datos!L16,Datos!L16+Datos!AF16)," - ")</f>
        <v>960</v>
      </c>
      <c r="AB16" s="333">
        <f>IF(ISNUMBER(Datos!R16),Datos!R16," - ")</f>
        <v>134</v>
      </c>
      <c r="AC16" s="333">
        <f t="shared" si="6"/>
        <v>1094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59</v>
      </c>
      <c r="AJ16" s="230" t="str">
        <f>IF(ISNUMBER(Datos!BW16),Datos!BW16," - ")</f>
        <v xml:space="preserve"> - </v>
      </c>
      <c r="AK16" s="231" t="str">
        <f>IF(ISNUMBER(Datos!BX16),Datos!BX16," - ")</f>
        <v xml:space="preserve"> - </v>
      </c>
      <c r="AL16" s="242">
        <f>IF(ISNUMBER(NºAsuntos!G16/NºAsuntos!E16),NºAsuntos!G16/NºAsuntos!E16," - ")</f>
        <v>1.0672043010752688</v>
      </c>
      <c r="AM16" s="259">
        <f>IF(ISNUMBER(((NºAsuntos!I16/NºAsuntos!G16)*11)/factor_trimestre),((NºAsuntos!I16/NºAsuntos!G16)*11)/factor_trimestre," - ")</f>
        <v>3.6272040302267006</v>
      </c>
      <c r="AN16" s="243">
        <f>IF(ISNUMBER('Resol  Asuntos'!D16/NºAsuntos!G16),'Resol  Asuntos'!D16/NºAsuntos!G16," - ")</f>
        <v>7.4307304785894202E-2</v>
      </c>
      <c r="AO16" s="244">
        <f>IF(ISNUMBER((NºAsuntos!C16+NºAsuntos!E16)/NºAsuntos!G16),(NºAsuntos!C16+NºAsuntos!E16)/NºAsuntos!G16," - ")</f>
        <v>2.0516372795969775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90</v>
      </c>
      <c r="X17" s="225">
        <f>IF(ISNUMBER(Datos!Q17),Datos!Q17," - ")</f>
        <v>0</v>
      </c>
      <c r="Y17" s="333">
        <f t="shared" si="7"/>
        <v>90</v>
      </c>
      <c r="Z17" s="334" t="str">
        <f>IF(ISNUMBER(Datos!CC17),Datos!CC17," - ")</f>
        <v xml:space="preserve"> - </v>
      </c>
      <c r="AA17" s="331">
        <f>IF(ISNUMBER(Datos!L17),Datos!L17,"-")</f>
        <v>142</v>
      </c>
      <c r="AB17" s="333">
        <f>IF(ISNUMBER(Datos!R17),Datos!R17," - ")</f>
        <v>1</v>
      </c>
      <c r="AC17" s="333">
        <f t="shared" si="6"/>
        <v>143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0.74380165289256195</v>
      </c>
      <c r="AM17" s="259">
        <f>IF(ISNUMBER(((NºAsuntos!I17/NºAsuntos!G17)*11)/factor_trimestre),((NºAsuntos!I17/NºAsuntos!G17)*11)/factor_trimestre," - ")</f>
        <v>4.7333333333333334</v>
      </c>
      <c r="AN17" s="243">
        <f>IF(ISNUMBER('Resol  Asuntos'!D17/NºAsuntos!G17),'Resol  Asuntos'!D17/NºAsuntos!G17," - ")</f>
        <v>0.13333333333333333</v>
      </c>
      <c r="AO17" s="244">
        <f>IF(ISNUMBER((NºAsuntos!C17+NºAsuntos!E17)/NºAsuntos!G17),(NºAsuntos!C17+NºAsuntos!E17)/NºAsuntos!G17," - ")</f>
        <v>2.5777777777777779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1010</v>
      </c>
      <c r="G18" s="865">
        <f>SUBTOTAL(9,G15:G17)</f>
        <v>996</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884</v>
      </c>
      <c r="X18" s="866">
        <f t="shared" si="11"/>
        <v>16</v>
      </c>
      <c r="Y18" s="867">
        <f t="shared" si="11"/>
        <v>900</v>
      </c>
      <c r="Z18" s="867">
        <f t="shared" si="11"/>
        <v>0</v>
      </c>
      <c r="AA18" s="867">
        <f t="shared" si="11"/>
        <v>1102</v>
      </c>
      <c r="AB18" s="867">
        <f t="shared" si="11"/>
        <v>135</v>
      </c>
      <c r="AC18" s="867">
        <f t="shared" si="11"/>
        <v>1237</v>
      </c>
      <c r="AD18" s="867">
        <f t="shared" si="11"/>
        <v>0</v>
      </c>
      <c r="AE18" s="871">
        <f t="shared" si="11"/>
        <v>0</v>
      </c>
      <c r="AF18" s="864">
        <f t="shared" si="11"/>
        <v>0</v>
      </c>
      <c r="AG18" s="872">
        <f t="shared" si="11"/>
        <v>0</v>
      </c>
      <c r="AH18" s="869">
        <f t="shared" si="11"/>
        <v>0</v>
      </c>
      <c r="AI18" s="864">
        <f t="shared" si="11"/>
        <v>71</v>
      </c>
      <c r="AJ18" s="866">
        <f t="shared" si="11"/>
        <v>0</v>
      </c>
      <c r="AK18" s="869">
        <f t="shared" si="11"/>
        <v>0</v>
      </c>
      <c r="AL18" s="873">
        <f>IF(ISNUMBER(NºAsuntos!G18/NºAsuntos!E18),NºAsuntos!G18/NºAsuntos!E18," - ")</f>
        <v>1.0219653179190751</v>
      </c>
      <c r="AM18" s="873">
        <f>IF(ISNUMBER(((NºAsuntos!I18/NºAsuntos!G18)*11)/factor_trimestre),((NºAsuntos!I18/NºAsuntos!G18)*11)/factor_trimestre," - ")</f>
        <v>3.7398190045248869</v>
      </c>
      <c r="AN18" s="874">
        <f>IF(ISNUMBER('Resol  Asuntos'!D18/NºAsuntos!G18),'Resol  Asuntos'!D18/NºAsuntos!G18," - ")</f>
        <v>8.031674208144797E-2</v>
      </c>
      <c r="AO18" s="875">
        <f>IF(ISNUMBER((NºAsuntos!C18+NºAsuntos!E18)/NºAsuntos!G18),(NºAsuntos!C18+NºAsuntos!E18)/NºAsuntos!G18," - ")</f>
        <v>2.1052036199095023</v>
      </c>
      <c r="AP18" s="876" t="str">
        <f t="shared" si="2"/>
        <v xml:space="preserve"> - </v>
      </c>
      <c r="AQ18" s="876">
        <f>IF(ISNUMBER((H18-W18+K18)/(F18)),(H18-W18+K18)/(F18)," - ")</f>
        <v>-0.87524752475247525</v>
      </c>
      <c r="AR18" s="877">
        <f>IF(ISNUMBER((Datos!P18-Datos!Q18)/(Datos!R18-Datos!P18+Datos!Q18)),(Datos!P18-Datos!Q18)/(Datos!R18-Datos!P18+Datos!Q18)," - ")</f>
        <v>8.8709677419354843E-2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1040</v>
      </c>
      <c r="G19" s="820">
        <f t="shared" si="13"/>
        <v>1026</v>
      </c>
      <c r="H19" s="819">
        <f t="shared" si="13"/>
        <v>0</v>
      </c>
      <c r="I19" s="821">
        <f t="shared" si="13"/>
        <v>0</v>
      </c>
      <c r="J19" s="821">
        <f t="shared" si="13"/>
        <v>0</v>
      </c>
      <c r="K19" s="880">
        <f t="shared" si="13"/>
        <v>0</v>
      </c>
      <c r="L19" s="821">
        <f t="shared" si="13"/>
        <v>241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912</v>
      </c>
      <c r="X19" s="820">
        <f t="shared" si="14"/>
        <v>132</v>
      </c>
      <c r="Y19" s="827">
        <f t="shared" si="14"/>
        <v>1044</v>
      </c>
      <c r="Z19" s="827">
        <f t="shared" si="14"/>
        <v>0</v>
      </c>
      <c r="AA19" s="827">
        <f t="shared" si="14"/>
        <v>1135</v>
      </c>
      <c r="AB19" s="827">
        <f t="shared" si="14"/>
        <v>2574</v>
      </c>
      <c r="AC19" s="827">
        <f t="shared" si="14"/>
        <v>1273</v>
      </c>
      <c r="AD19" s="827">
        <f t="shared" si="14"/>
        <v>0</v>
      </c>
      <c r="AE19" s="829">
        <f t="shared" si="14"/>
        <v>0</v>
      </c>
      <c r="AF19" s="830">
        <f t="shared" si="14"/>
        <v>0</v>
      </c>
      <c r="AG19" s="831">
        <f t="shared" si="14"/>
        <v>0</v>
      </c>
      <c r="AH19" s="829">
        <f t="shared" si="14"/>
        <v>0</v>
      </c>
      <c r="AI19" s="819">
        <f t="shared" si="14"/>
        <v>199</v>
      </c>
      <c r="AJ19" s="819">
        <f t="shared" si="14"/>
        <v>0</v>
      </c>
      <c r="AK19" s="829">
        <f t="shared" si="14"/>
        <v>0</v>
      </c>
      <c r="AL19" s="883">
        <f>IF(ISNUMBER(NºAsuntos!G19/NºAsuntos!E19),NºAsuntos!G19/NºAsuntos!E19," - ")</f>
        <v>1.0180722891566265</v>
      </c>
      <c r="AM19" s="884">
        <f>IF(ISNUMBER(((NºAsuntos!I19/NºAsuntos!G19)*11)/factor_trimestre),((NºAsuntos!I19/NºAsuntos!G19)*11)/factor_trimestre," - ")</f>
        <v>5.165680473372781</v>
      </c>
      <c r="AN19" s="884">
        <f>IF(ISNUMBER('Resol  Asuntos'!D19/NºAsuntos!G19),'Resol  Asuntos'!D19/NºAsuntos!G19," - ")</f>
        <v>0.13083497698882315</v>
      </c>
      <c r="AO19" s="885">
        <f>IF(ISNUMBER((NºAsuntos!C19+NºAsuntos!E19)/NºAsuntos!G19),(NºAsuntos!C19+NºAsuntos!E19)/NºAsuntos!G19," - ")</f>
        <v>2.6719263642340567</v>
      </c>
      <c r="AP19" s="886" t="str">
        <f t="shared" si="2"/>
        <v xml:space="preserve"> - </v>
      </c>
      <c r="AQ19" s="887">
        <f>IF(OR(ISNUMBER(FIND("01",Criterios!A8,1)),ISNUMBER(FIND("02",Criterios!A8,1)),ISNUMBER(FIND("03",Criterios!A8,1)),ISNUMBER(FIND("04",Criterios!A8,1))),(I19-W19+K19)/(F19-K19),(H19-W19+K19)/(F19-K19))</f>
        <v>-0.87692307692307692</v>
      </c>
      <c r="AR19" s="888">
        <f>IF(ISNUMBER((Datos!P19-Datos!Q19)/(Datos!R19-Datos!P19+Datos!Q19)),(Datos!P19-Datos!Q19)/(Datos!R19-Datos!P19+Datos!Q19)," - ")</f>
        <v>4.4219066937119675E-2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410.4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565.80326380583324</v>
      </c>
      <c r="G21" s="252">
        <f>IF(ISNUMBER(STDEV(G8:G18)),STDEV(G8:G18),"-")</f>
        <v>486.62644810984119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434.78868430537614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50.776635046708897</v>
      </c>
      <c r="AJ21" s="251">
        <f t="shared" si="18"/>
        <v>0</v>
      </c>
      <c r="AK21" s="253">
        <f t="shared" si="18"/>
        <v>0</v>
      </c>
      <c r="AL21" s="248">
        <f t="shared" si="18"/>
        <v>0.11956402152917707</v>
      </c>
      <c r="AM21" s="249">
        <f t="shared" si="18"/>
        <v>1.7676398770556256</v>
      </c>
      <c r="AN21" s="249">
        <f t="shared" si="18"/>
        <v>9.2783593629433544E-2</v>
      </c>
      <c r="AO21" s="250">
        <f t="shared" si="18"/>
        <v>0.676446203888877</v>
      </c>
      <c r="AP21" s="290" t="str">
        <f t="shared" si="18"/>
        <v>-</v>
      </c>
      <c r="AQ21" s="291">
        <f t="shared" si="18"/>
        <v>4.107286913822851E-2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JOWa9Xs5bmOaBIgBDg9VQq8RdRdZIch2DHEd4+di2oC5FvVXEQ8rBLEKjwMujFb2tO6kdUIWvOdY0726YaHsw==" saltValue="H4cyWOlTEhmtBxNu3RjN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UBEDA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0.72222222222222221</v>
      </c>
      <c r="F10" s="347">
        <f>IF(ISNUMBER((Datos!K10-Datos!U10)/Datos!U10),(Datos!K10-Datos!U10)/Datos!U10," - ")</f>
        <v>0.75</v>
      </c>
      <c r="G10" s="348">
        <f>IF(ISNUMBER((Datos!L10-Datos!V10)/Datos!V10),(Datos!L10-Datos!V10)/Datos!V10," - ")</f>
        <v>3.125E-2</v>
      </c>
      <c r="H10" s="229">
        <f>IF(ISNUMBER((Datos!M10-Datos!W10)/Datos!W10),(Datos!M10-Datos!W10)/Datos!W10," - ")</f>
        <v>0.5</v>
      </c>
      <c r="I10" s="349">
        <f>IF(ISNUMBER((Tasas!C10-Datos!BE10)/Datos!BE10),(Tasas!C10-Datos!BE10)/Datos!BE10," - ")</f>
        <v>-0.4107142857142857</v>
      </c>
      <c r="J10" s="348">
        <f>IF(ISNUMBER((Tasas!D10-Datos!BF10)/Datos!BF10),(Tasas!D10-Datos!BF10)/Datos!BF10," - ")</f>
        <v>-0.14285714285714279</v>
      </c>
      <c r="K10" s="350">
        <f>IF(ISNUMBER((Tasas!E10-Datos!BG10)/Datos!BG10),(Tasas!E10-Datos!BG10)/Datos!BG10," - ")</f>
        <v>-0.27380952380952389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-0.37037037037037035</v>
      </c>
      <c r="I12" s="349">
        <f>IF(ISNUMBER((Tasas!C12-Datos!BE12)/Datos!BE12),(Tasas!C12-Datos!BE12)/Datos!BE12," - ")</f>
        <v>0.35044183110756771</v>
      </c>
      <c r="J12" s="348">
        <f>IF(ISNUMBER((Tasas!D12-Datos!BF12)/Datos!BF12),(Tasas!D12-Datos!BF12)/Datos!BF12," - ")</f>
        <v>-0.54026514350186872</v>
      </c>
      <c r="K12" s="350">
        <f>IF(ISNUMBER((Tasas!E12-Datos!BG12)/Datos!BG12),(Tasas!E12-Datos!BG12)/Datos!BG12," - ")</f>
        <v>0.25709419288491819</v>
      </c>
      <c r="M12" t="e">
        <f>IF(Monitorios="SI",Datos!CE12,0)</f>
        <v>#REF!</v>
      </c>
      <c r="N12" t="e">
        <f>IF(Monitorios="SI",Datos!CF12,0)</f>
        <v>#REF!</v>
      </c>
      <c r="O12" t="e">
        <f>IF(Monitorios="SI",Datos!CG12,0)</f>
        <v>#REF!</v>
      </c>
      <c r="P12" t="e">
        <f>IF(Monitorios="SI",Datos!CH12,0)</f>
        <v>#REF!</v>
      </c>
      <c r="Q12">
        <f>IF(J_V="SI",0,Datos!AG12)</f>
        <v>42</v>
      </c>
      <c r="R12">
        <f>IF(J_V="SI",0,Datos!AH12)</f>
        <v>80</v>
      </c>
      <c r="S12">
        <f>IF(J_V="SI",0,Datos!AI12)</f>
        <v>66</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-0.34358974358974359</v>
      </c>
      <c r="I13" s="356">
        <f>IF(ISNUMBER((Tasas!C13-Datos!BE13)/Datos!BE13),(Tasas!C13-Datos!BE13)/Datos!BE13," - ")</f>
        <v>0.31687531596732577</v>
      </c>
      <c r="J13" s="354">
        <f>IF(ISNUMBER((Tasas!D13-Datos!BF13)/Datos!BF13),(Tasas!D13-Datos!BF13)/Datos!BF13," - ")</f>
        <v>-0.52609180836375324</v>
      </c>
      <c r="K13" s="357">
        <f>IF(ISNUMBER((Tasas!E13-Datos!BG13)/Datos!BG13),(Tasas!E13-Datos!BG13)/Datos!BG13," - ")</f>
        <v>0.23424166665474133</v>
      </c>
      <c r="M13" t="e">
        <f>IF(Monitorios="SI",Datos!CE13,0)</f>
        <v>#REF!</v>
      </c>
      <c r="N13" t="e">
        <f>IF(Monitorios="SI",Datos!CF13,0)</f>
        <v>#REF!</v>
      </c>
      <c r="O13" t="e">
        <f>IF(Monitorios="SI",Datos!CG13,0)</f>
        <v>#REF!</v>
      </c>
      <c r="P13" t="e">
        <f>IF(Monitorios="SI",Datos!CH13,0)</f>
        <v>#REF!</v>
      </c>
      <c r="Q13">
        <f>IF(J_V="SI",0,Datos!AG13)</f>
        <v>42</v>
      </c>
      <c r="R13">
        <f>IF(J_V="SI",0,Datos!AH13)</f>
        <v>80</v>
      </c>
      <c r="S13">
        <f>IF(J_V="SI",0,Datos!AI13)</f>
        <v>66</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0.26790830945558741</v>
      </c>
      <c r="E16" s="347">
        <f>IF(ISNUMBER(
   IF(D_I="SI",(Datos!J16-Datos!T16)/Datos!T16,(Datos!J16+Datos!AD16-(Datos!T16+Datos!AL16))/(Datos!T16+Datos!AL16))
     ),IF(D_I="SI",(Datos!J16-Datos!T16)/Datos!T16,(Datos!J16+Datos!AD16-(Datos!T16+Datos!AL16))/(Datos!T16+Datos!AL16))," - ")</f>
        <v>-1.3262599469496022E-2</v>
      </c>
      <c r="F16" s="347">
        <f>IF(ISNUMBER(
   IF(D_I="SI",(Datos!K16-Datos!U16)/Datos!U16,(Datos!K16+Datos!AE16-(Datos!U16+Datos!AM16))/(Datos!U16+Datos!AM16))
     ),IF(D_I="SI",(Datos!K16-Datos!U16)/Datos!U16,(Datos!K16+Datos!AE16-(Datos!U16+Datos!AM16))/(Datos!U16+Datos!AM16))," - ")</f>
        <v>9.0659340659340656E-2</v>
      </c>
      <c r="G16" s="348">
        <f>IF(ISNUMBER(
   IF(D_I="SI",(Datos!L16-Datos!V16)/Datos!V16,(Datos!L16+Datos!AF16-(Datos!V16+Datos!AN16))/(Datos!V16+Datos!AN16))
     ),IF(D_I="SI",(Datos!L16-Datos!V16)/Datos!V16,(Datos!L16+Datos!AF16-(Datos!V16+Datos!AN16))/(Datos!V16+Datos!AN16))," - ")</f>
        <v>0.3168724279835391</v>
      </c>
      <c r="H16" s="229">
        <f>IF(ISNUMBER((Datos!M16-Datos!W16)/Datos!W16),(Datos!M16-Datos!W16)/Datos!W16," - ")</f>
        <v>-0.36559139784946237</v>
      </c>
      <c r="I16" s="349">
        <f>IF(ISNUMBER((Tasas!C16-Datos!BE16)/Datos!BE16),(Tasas!C16-Datos!BE16)/Datos!BE16," - ")</f>
        <v>0.20740948056929037</v>
      </c>
      <c r="J16" s="348">
        <f>IF(ISNUMBER((Tasas!D16-Datos!BF16)/Datos!BF16),(Tasas!D16-Datos!BF16)/Datos!BF16," - ")</f>
        <v>-0.41832561414912922</v>
      </c>
      <c r="K16" s="350">
        <f>IF(ISNUMBER((Tasas!E16-Datos!BG16)/Datos!BG16),(Tasas!E16-Datos!BG16)/Datos!BG16," - ")</f>
        <v>2.8644586464600282E-2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0.30588235294117649</v>
      </c>
      <c r="E17" s="347">
        <f>IF(ISNUMBER(
   IF(D_I="SI",(Datos!J17-Datos!T17)/Datos!T17,(Datos!J17+Datos!AD17-(Datos!T17+Datos!AL17))/(Datos!T17+Datos!AL17))
     ),IF(D_I="SI",(Datos!J17-Datos!T17)/Datos!T17,(Datos!J17+Datos!AD17-(Datos!T17+Datos!AL17))/(Datos!T17+Datos!AL17))," - ")</f>
        <v>0.3595505617977528</v>
      </c>
      <c r="F17" s="347">
        <f>IF(ISNUMBER(
   IF(D_I="SI",(Datos!K17-Datos!U17)/Datos!U17,(Datos!K17+Datos!AE17-(Datos!U17+Datos!AM17))/(Datos!U17+Datos!AM17))
     ),IF(D_I="SI",(Datos!K17-Datos!U17)/Datos!U17,(Datos!K17+Datos!AE17-(Datos!U17+Datos!AM17))/(Datos!U17+Datos!AM17))," - ")</f>
        <v>0.125</v>
      </c>
      <c r="G17" s="348">
        <f>IF(ISNUMBER(
   IF(D_I="SI",(Datos!L17-Datos!V17)/Datos!V17,(Datos!L17+Datos!AF17-(Datos!V17+Datos!AN17))/(Datos!V17+Datos!AN17))
     ),IF(D_I="SI",(Datos!L17-Datos!V17)/Datos!V17,(Datos!L17+Datos!AF17-(Datos!V17+Datos!AN17))/(Datos!V17+Datos!AN17))," - ")</f>
        <v>0.47916666666666669</v>
      </c>
      <c r="H17" s="229">
        <f>IF(ISNUMBER((Datos!M17-Datos!W17)/Datos!W17),(Datos!M17-Datos!W17)/Datos!W17," - ")</f>
        <v>0.2</v>
      </c>
      <c r="I17" s="349">
        <f>IF(ISNUMBER((Tasas!C17-Datos!BE17)/Datos!BE17),(Tasas!C17-Datos!BE17)/Datos!BE17," - ")</f>
        <v>0.31481481481481483</v>
      </c>
      <c r="J17" s="348">
        <f>IF(ISNUMBER((Tasas!D17-Datos!BF17)/Datos!BF17),(Tasas!D17-Datos!BF17)/Datos!BF17," - ")</f>
        <v>6.6666666666666652E-2</v>
      </c>
      <c r="K17" s="350">
        <f>IF(ISNUMBER((Tasas!E17-Datos!BG17)/Datos!BG17),(Tasas!E17-Datos!BG17)/Datos!BG17," - ")</f>
        <v>0.18518518518518537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0.27203065134099619</v>
      </c>
      <c r="E18" s="353">
        <f>IF(ISNUMBER(
   IF(D_I="SI",(Datos!J18-Datos!T18)/Datos!T18,(Datos!J18+Datos!AD18-(Datos!T18+Datos!AL18))/(Datos!T18+Datos!AL18))
     ),IF(D_I="SI",(Datos!J18-Datos!T18)/Datos!T18,(Datos!J18+Datos!AD18-(Datos!T18+Datos!AL18))/(Datos!T18+Datos!AL18))," - ")</f>
        <v>2.6097271648873072E-2</v>
      </c>
      <c r="F18" s="353">
        <f>IF(ISNUMBER(
   IF(D_I="SI",(Datos!K18-Datos!U18)/Datos!U18,(Datos!K18+Datos!AE18-(Datos!U18+Datos!AM18))/(Datos!U18+Datos!AM18))
     ),IF(D_I="SI",(Datos!K18-Datos!U18)/Datos!U18,(Datos!K18+Datos!AE18-(Datos!U18+Datos!AM18))/(Datos!U18+Datos!AM18))," - ")</f>
        <v>9.405940594059406E-2</v>
      </c>
      <c r="G18" s="354">
        <f>IF(ISNUMBER(
   IF(D_I="SI",(Datos!L18-Datos!V18)/Datos!V18,(Datos!L18+Datos!AF18-(Datos!V18+Datos!AN18))/(Datos!V18+Datos!AN18))
     ),IF(D_I="SI",(Datos!L18-Datos!V18)/Datos!V18,(Datos!L18+Datos!AF18-(Datos!V18+Datos!AN18))/(Datos!V18+Datos!AN18))," - ")</f>
        <v>0.33575757575757575</v>
      </c>
      <c r="H18" s="355">
        <f>IF(ISNUMBER((Datos!M18-Datos!W18)/Datos!W18),(Datos!M18-Datos!W18)/Datos!W18," - ")</f>
        <v>-0.31067961165048541</v>
      </c>
      <c r="I18" s="356">
        <f>IF(ISNUMBER((Tasas!C18-Datos!BE18)/Datos!BE18),(Tasas!C18-Datos!BE18)/Datos!BE18," - ")</f>
        <v>0.22091868915398338</v>
      </c>
      <c r="J18" s="354">
        <f>IF(ISNUMBER((Tasas!D18-Datos!BF18)/Datos!BF18),(Tasas!D18-Datos!BF18)/Datos!BF18," - ")</f>
        <v>-0.3699424504678645</v>
      </c>
      <c r="K18" s="357">
        <f>IF(ISNUMBER((Tasas!E18-Datos!BG18)/Datos!BG18),(Tasas!E18-Datos!BG18)/Datos!BG18," - ")</f>
        <v>4.612824408787089E-2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0.15609536662168241</v>
      </c>
      <c r="E19" s="362">
        <f>IF(ISNUMBER(
   IF(J_V="SI",(Datos!J19-Datos!T19)/Datos!T19,(Datos!J19+Datos!Z19-(Datos!T19+Datos!AH19))/(Datos!T19+Datos!AH19))
     ),IF(J_V="SI",(Datos!J19-Datos!T19)/Datos!T19,(Datos!J19+Datos!Z19-(Datos!T19+Datos!AH19))/(Datos!T19+Datos!AH19))," - ")</f>
        <v>-6.4495929868503443E-2</v>
      </c>
      <c r="F19" s="362">
        <f>IF(ISNUMBER(
   IF(J_V="SI",(Datos!K19-Datos!U19)/Datos!U19,(Datos!K19+Datos!AA19-(Datos!U19+Datos!AI19))/(Datos!U19+Datos!AI19))
     ),IF(J_V="SI",(Datos!K19-Datos!U19)/Datos!U19,(Datos!K19+Datos!AA19-(Datos!U19+Datos!AI19))/(Datos!U19+Datos!AI19))," - ")</f>
        <v>-4.3997485857950977E-2</v>
      </c>
      <c r="G19" s="363">
        <f>IF(ISNUMBER(
   IF(J_V="SI",(Datos!L19-Datos!V19)/Datos!V19,(Datos!L19+Datos!AB19-(Datos!V19+Datos!AJ19))/(Datos!V19+Datos!AJ19))
     ),IF(J_V="SI",(Datos!L19-Datos!V19)/Datos!V19,(Datos!L19+Datos!AB19-(Datos!V19+Datos!AJ19))/(Datos!V19+Datos!AJ19))," - ")</f>
        <v>0.16867469879518071</v>
      </c>
      <c r="H19" s="364">
        <f>IF(ISNUMBER((Datos!M19-Datos!W19)/Datos!W19),(Datos!M19-Datos!W19)/Datos!W19," - ")</f>
        <v>-0.33221476510067116</v>
      </c>
      <c r="I19" s="361">
        <f>IF(ISNUMBER((Tasas!C19-Datos!BE19)/Datos!BE19),(Tasas!C19-Datos!BE19)/Datos!BE19," - ")</f>
        <v>0.22245985916050781</v>
      </c>
      <c r="J19" s="362">
        <f>IF(ISNUMBER((Tasas!D19-Datos!BF19)/Datos!BF19),(Tasas!D19-Datos!BF19)/Datos!BF19," - ")</f>
        <v>-0.52147483128915484</v>
      </c>
      <c r="K19" s="363">
        <f>IF(ISNUMBER((Tasas!E19-Datos!BG19)/Datos!BG19),(Tasas!E19-Datos!BG19)/Datos!BG19," - ")</f>
        <v>0.11283634698858226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0.14199310745234578</v>
      </c>
      <c r="E21" s="277">
        <f t="shared" si="1"/>
        <v>0.34263544188203099</v>
      </c>
      <c r="F21" s="277">
        <f t="shared" si="1"/>
        <v>0.32374904500288987</v>
      </c>
      <c r="G21" s="278">
        <f t="shared" si="1"/>
        <v>0.18757145558655341</v>
      </c>
      <c r="H21" s="284">
        <f t="shared" si="1"/>
        <v>0.37309619326022297</v>
      </c>
      <c r="I21" s="276">
        <f t="shared" si="1"/>
        <v>0.28853278337998961</v>
      </c>
      <c r="J21" s="277">
        <f t="shared" si="1"/>
        <v>0.2383375542407441</v>
      </c>
      <c r="K21" s="278">
        <f t="shared" si="1"/>
        <v>0.19757609511618382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UJjNSKI4b8Wqhs634sipoZHEYQXXwi+BCuZxX6hGtlq/RvLxft9NPZBy4V2lmSJuzDaOB95z2PXifh1mJtkGg==" saltValue="Q2dkcfGDG/1W161gkUbD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